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ables/table2.xml" ContentType="application/vnd.openxmlformats-officedocument.spreadsheetml.table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85" yWindow="-120" windowWidth="20115" windowHeight="7035" firstSheet="1" activeTab="4"/>
  </bookViews>
  <sheets>
    <sheet name="Pivot" sheetId="5" state="hidden" r:id="rId1"/>
    <sheet name="INFO" sheetId="6" r:id="rId2"/>
    <sheet name="PostRustur" sheetId="7" r:id="rId3"/>
    <sheet name="PreRustur" sheetId="1" r:id="rId4"/>
    <sheet name="Deltagere" sheetId="2" r:id="rId5"/>
    <sheet name="Betalinger - PreRus" sheetId="3" r:id="rId6"/>
    <sheet name="Betalinger - PostRus" sheetId="9" r:id="rId7"/>
  </sheets>
  <externalReferences>
    <externalReference r:id="rId8"/>
  </externalReferences>
  <definedNames>
    <definedName name="_xlnm._FilterDatabase" localSheetId="2" hidden="1">PostRustur!$A$3:$I$60</definedName>
  </definedNames>
  <calcPr calcId="145621"/>
  <pivotCaches>
    <pivotCache cacheId="0" r:id="rId9"/>
  </pivotCaches>
</workbook>
</file>

<file path=xl/calcChain.xml><?xml version="1.0" encoding="utf-8"?>
<calcChain xmlns="http://schemas.openxmlformats.org/spreadsheetml/2006/main">
  <c r="B11" i="9" l="1"/>
  <c r="E3" i="9"/>
  <c r="B17" i="9" l="1"/>
  <c r="B18" i="9"/>
  <c r="B19" i="9"/>
  <c r="B20" i="9"/>
  <c r="B21" i="9"/>
  <c r="B22" i="9"/>
  <c r="B23" i="9"/>
  <c r="B24" i="9"/>
  <c r="B16" i="9"/>
  <c r="B15" i="9"/>
  <c r="B14" i="9"/>
  <c r="B13" i="9"/>
  <c r="C7" i="9"/>
  <c r="C6" i="9"/>
  <c r="C5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C4" i="9"/>
  <c r="D3" i="9"/>
  <c r="C3" i="9"/>
  <c r="B12" i="9"/>
  <c r="B10" i="9"/>
  <c r="B9" i="9"/>
  <c r="B8" i="9"/>
  <c r="B7" i="9"/>
  <c r="B6" i="9"/>
  <c r="B5" i="9"/>
  <c r="B4" i="9"/>
  <c r="B3" i="9"/>
  <c r="D24" i="9"/>
  <c r="C24" i="9"/>
  <c r="D23" i="9"/>
  <c r="C23" i="9"/>
  <c r="D22" i="9"/>
  <c r="C22" i="9"/>
  <c r="D21" i="9"/>
  <c r="C21" i="9"/>
  <c r="D20" i="9"/>
  <c r="C20" i="9"/>
  <c r="D19" i="9"/>
  <c r="C19" i="9"/>
  <c r="D18" i="9"/>
  <c r="C18" i="9"/>
  <c r="D17" i="9"/>
  <c r="C17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S10" i="9"/>
  <c r="D7" i="9"/>
  <c r="D6" i="9"/>
  <c r="D5" i="9"/>
  <c r="D4" i="9"/>
  <c r="I5" i="7"/>
  <c r="I6" i="7"/>
  <c r="I7" i="7"/>
  <c r="I8" i="7"/>
  <c r="I9" i="7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H61" i="7"/>
  <c r="F19" i="9" l="1"/>
  <c r="G19" i="9" s="1"/>
  <c r="F18" i="9"/>
  <c r="F24" i="9"/>
  <c r="D25" i="9"/>
  <c r="F12" i="9"/>
  <c r="G12" i="9" s="1"/>
  <c r="C25" i="9"/>
  <c r="F6" i="9"/>
  <c r="G6" i="9" s="1"/>
  <c r="L8" i="9" s="1"/>
  <c r="F8" i="9"/>
  <c r="G8" i="9" s="1"/>
  <c r="L9" i="9" s="1"/>
  <c r="F14" i="9"/>
  <c r="G14" i="9" s="1"/>
  <c r="L25" i="9" s="1"/>
  <c r="F22" i="9"/>
  <c r="G22" i="9" s="1"/>
  <c r="L19" i="9" s="1"/>
  <c r="F21" i="9"/>
  <c r="G21" i="9" s="1"/>
  <c r="F11" i="9"/>
  <c r="G11" i="9" s="1"/>
  <c r="L24" i="9" s="1"/>
  <c r="F9" i="9"/>
  <c r="G9" i="9" s="1"/>
  <c r="F7" i="9"/>
  <c r="G7" i="9" s="1"/>
  <c r="L22" i="9" s="1"/>
  <c r="F23" i="9"/>
  <c r="G23" i="9" s="1"/>
  <c r="F13" i="9"/>
  <c r="G13" i="9" s="1"/>
  <c r="F17" i="9"/>
  <c r="G17" i="9" s="1"/>
  <c r="F4" i="9"/>
  <c r="G4" i="9" s="1"/>
  <c r="F10" i="9"/>
  <c r="G10" i="9" s="1"/>
  <c r="L10" i="9" s="1"/>
  <c r="F20" i="9"/>
  <c r="G20" i="9" s="1"/>
  <c r="F15" i="9"/>
  <c r="G15" i="9" s="1"/>
  <c r="G18" i="9"/>
  <c r="L17" i="9" s="1"/>
  <c r="E25" i="9"/>
  <c r="F5" i="9"/>
  <c r="G5" i="9" s="1"/>
  <c r="L7" i="9" s="1"/>
  <c r="F16" i="9"/>
  <c r="G16" i="9" s="1"/>
  <c r="L18" i="9" s="1"/>
  <c r="G24" i="9"/>
  <c r="B25" i="9"/>
  <c r="F3" i="9"/>
  <c r="E61" i="7"/>
  <c r="M10" i="9" l="1"/>
  <c r="L12" i="9" s="1"/>
  <c r="M15" i="9"/>
  <c r="L16" i="9" s="1"/>
  <c r="M19" i="9" s="1"/>
  <c r="L21" i="9" s="1"/>
  <c r="M23" i="9" s="1"/>
  <c r="F25" i="9"/>
  <c r="G3" i="9"/>
  <c r="L15" i="9" l="1"/>
  <c r="L11" i="9"/>
  <c r="L20" i="9"/>
  <c r="L23" i="9"/>
  <c r="L28" i="9"/>
  <c r="L13" i="9"/>
  <c r="M13" i="9" s="1"/>
  <c r="L27" i="9" s="1"/>
  <c r="G25" i="9"/>
  <c r="M3" i="9"/>
  <c r="G26" i="9"/>
  <c r="L3" i="9"/>
  <c r="L4" i="9" l="1"/>
  <c r="M4" i="9"/>
  <c r="L14" i="9"/>
  <c r="L5" i="9" l="1"/>
  <c r="L6" i="9" s="1"/>
  <c r="M5" i="9"/>
  <c r="L26" i="9" s="1"/>
  <c r="L29" i="9" l="1"/>
  <c r="L30" i="9" s="1"/>
  <c r="M29" i="9"/>
  <c r="T10" i="3" l="1"/>
  <c r="D5" i="3"/>
  <c r="D3" i="3"/>
  <c r="F20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B24" i="3"/>
  <c r="B6" i="3"/>
  <c r="B4" i="3"/>
  <c r="B3" i="3"/>
  <c r="B5" i="3"/>
  <c r="B7" i="3"/>
  <c r="B8" i="3"/>
  <c r="B9" i="3"/>
  <c r="B10" i="3"/>
  <c r="B11" i="3"/>
  <c r="B12" i="3"/>
  <c r="B13" i="3"/>
  <c r="B14" i="3"/>
  <c r="B15" i="3"/>
  <c r="B21" i="3"/>
  <c r="B25" i="3"/>
  <c r="B23" i="3"/>
  <c r="B22" i="3"/>
  <c r="B20" i="3"/>
  <c r="B19" i="3"/>
  <c r="B18" i="3"/>
  <c r="B17" i="3"/>
  <c r="B16" i="3"/>
  <c r="E61" i="1"/>
  <c r="J16" i="1"/>
  <c r="J11" i="1"/>
  <c r="J20" i="1"/>
  <c r="J19" i="1"/>
  <c r="J7" i="1"/>
  <c r="J12" i="1"/>
  <c r="J4" i="1"/>
  <c r="J22" i="1"/>
  <c r="J14" i="1"/>
  <c r="J5" i="1"/>
  <c r="J17" i="1"/>
  <c r="J53" i="1"/>
  <c r="J10" i="1"/>
  <c r="J6" i="1"/>
  <c r="J59" i="1"/>
  <c r="J18" i="1"/>
  <c r="J60" i="1"/>
  <c r="J13" i="1"/>
  <c r="R3" i="3" l="1"/>
  <c r="Q3" i="9"/>
  <c r="D4" i="3"/>
  <c r="D8" i="3"/>
  <c r="D12" i="3"/>
  <c r="D11" i="3"/>
  <c r="D16" i="3"/>
  <c r="D20" i="3"/>
  <c r="D24" i="3"/>
  <c r="D17" i="3"/>
  <c r="D21" i="3"/>
  <c r="D25" i="3"/>
  <c r="D7" i="3"/>
  <c r="D9" i="3"/>
  <c r="D14" i="3"/>
  <c r="D18" i="3"/>
  <c r="D22" i="3"/>
  <c r="D6" i="3"/>
  <c r="D10" i="3"/>
  <c r="D15" i="3"/>
  <c r="D19" i="3"/>
  <c r="D23" i="3"/>
  <c r="D13" i="3"/>
  <c r="E26" i="3"/>
  <c r="H61" i="1"/>
  <c r="D26" i="3" l="1"/>
  <c r="J28" i="1"/>
  <c r="J52" i="1"/>
  <c r="J27" i="1"/>
  <c r="J31" i="1"/>
  <c r="J26" i="1"/>
  <c r="J34" i="1"/>
  <c r="J25" i="1"/>
  <c r="J39" i="1"/>
  <c r="J43" i="1"/>
  <c r="J29" i="1"/>
  <c r="J24" i="1"/>
  <c r="J45" i="1"/>
  <c r="J42" i="1"/>
  <c r="J41" i="1"/>
  <c r="J50" i="1"/>
  <c r="J44" i="1"/>
  <c r="J23" i="1"/>
  <c r="J15" i="1"/>
  <c r="J49" i="1"/>
  <c r="J8" i="1"/>
  <c r="J55" i="1"/>
  <c r="J48" i="1"/>
  <c r="J37" i="1"/>
  <c r="J47" i="1"/>
  <c r="J30" i="1"/>
  <c r="J58" i="1"/>
  <c r="J54" i="1"/>
  <c r="J51" i="1"/>
  <c r="J46" i="1"/>
  <c r="J32" i="1"/>
  <c r="J57" i="1"/>
  <c r="J33" i="1"/>
  <c r="J36" i="1"/>
  <c r="B31" i="2"/>
  <c r="A31" i="2"/>
  <c r="A33" i="2" s="1"/>
  <c r="N24" i="2"/>
  <c r="B7" i="2"/>
  <c r="A3" i="2"/>
  <c r="A5" i="2"/>
  <c r="C11" i="3" l="1"/>
  <c r="C7" i="3"/>
  <c r="C3" i="3"/>
  <c r="C23" i="3"/>
  <c r="C19" i="3"/>
  <c r="C15" i="3"/>
  <c r="C10" i="3"/>
  <c r="C6" i="3"/>
  <c r="C22" i="3"/>
  <c r="C18" i="3"/>
  <c r="C14" i="3"/>
  <c r="C20" i="3"/>
  <c r="C16" i="3"/>
  <c r="C13" i="3"/>
  <c r="C9" i="3"/>
  <c r="C5" i="3"/>
  <c r="C12" i="3"/>
  <c r="C8" i="3"/>
  <c r="C4" i="3"/>
  <c r="C24" i="3"/>
  <c r="C25" i="3"/>
  <c r="C21" i="3"/>
  <c r="C17" i="3"/>
  <c r="J9" i="1"/>
  <c r="J40" i="1"/>
  <c r="J35" i="1"/>
  <c r="J38" i="1"/>
  <c r="J21" i="1"/>
  <c r="J56" i="1"/>
  <c r="I61" i="1"/>
  <c r="J61" i="1" s="1"/>
  <c r="B26" i="3"/>
  <c r="B8" i="2"/>
  <c r="C26" i="3" l="1"/>
  <c r="G20" i="3"/>
  <c r="H20" i="3" s="1"/>
  <c r="N9" i="2" l="1"/>
  <c r="N10" i="2"/>
  <c r="N11" i="2"/>
  <c r="N12" i="2"/>
  <c r="N13" i="2"/>
  <c r="N14" i="2"/>
  <c r="N15" i="2"/>
  <c r="N16" i="2"/>
  <c r="N17" i="2"/>
  <c r="N18" i="2"/>
  <c r="N19" i="2"/>
  <c r="N20" i="2"/>
  <c r="N21" i="2"/>
  <c r="N22" i="2"/>
  <c r="N23" i="2"/>
  <c r="N25" i="2"/>
  <c r="N4" i="2"/>
  <c r="N5" i="2"/>
  <c r="N6" i="2"/>
  <c r="N7" i="2"/>
  <c r="N8" i="2"/>
  <c r="A10" i="2" l="1"/>
  <c r="B6" i="2"/>
  <c r="O24" i="2" s="1"/>
  <c r="F19" i="3" s="1"/>
  <c r="G19" i="3" s="1"/>
  <c r="H19" i="3" s="1"/>
  <c r="O6" i="2" l="1"/>
  <c r="F8" i="3" s="1"/>
  <c r="G8" i="3" s="1"/>
  <c r="H8" i="3" s="1"/>
  <c r="O14" i="2"/>
  <c r="F21" i="3" s="1"/>
  <c r="G21" i="3" s="1"/>
  <c r="H21" i="3" s="1"/>
  <c r="O22" i="2"/>
  <c r="F10" i="3" s="1"/>
  <c r="G10" i="3" s="1"/>
  <c r="H10" i="3" s="1"/>
  <c r="O13" i="2"/>
  <c r="F22" i="3" s="1"/>
  <c r="G22" i="3" s="1"/>
  <c r="H22" i="3" s="1"/>
  <c r="O21" i="2"/>
  <c r="F9" i="3" s="1"/>
  <c r="G9" i="3" s="1"/>
  <c r="H9" i="3" s="1"/>
  <c r="O7" i="2"/>
  <c r="F17" i="3" s="1"/>
  <c r="G17" i="3" s="1"/>
  <c r="H17" i="3" s="1"/>
  <c r="O15" i="2"/>
  <c r="F13" i="3" s="1"/>
  <c r="G13" i="3" s="1"/>
  <c r="H13" i="3" s="1"/>
  <c r="O23" i="2"/>
  <c r="F11" i="3" s="1"/>
  <c r="G11" i="3" s="1"/>
  <c r="H11" i="3" s="1"/>
  <c r="O8" i="2"/>
  <c r="F15" i="3" s="1"/>
  <c r="G15" i="3" s="1"/>
  <c r="H15" i="3" s="1"/>
  <c r="O16" i="2"/>
  <c r="F18" i="3" s="1"/>
  <c r="G18" i="3" s="1"/>
  <c r="H18" i="3" s="1"/>
  <c r="O25" i="2"/>
  <c r="F25" i="3" s="1"/>
  <c r="G25" i="3" s="1"/>
  <c r="H25" i="3" s="1"/>
  <c r="O9" i="2"/>
  <c r="F12" i="3" s="1"/>
  <c r="G12" i="3" s="1"/>
  <c r="H12" i="3" s="1"/>
  <c r="O17" i="2"/>
  <c r="F6" i="3" s="1"/>
  <c r="G6" i="3" s="1"/>
  <c r="H6" i="3" s="1"/>
  <c r="O4" i="2"/>
  <c r="F5" i="3" s="1"/>
  <c r="G5" i="3" s="1"/>
  <c r="H5" i="3" s="1"/>
  <c r="O10" i="2"/>
  <c r="F23" i="3" s="1"/>
  <c r="G23" i="3" s="1"/>
  <c r="H23" i="3" s="1"/>
  <c r="O18" i="2"/>
  <c r="F14" i="3" s="1"/>
  <c r="G14" i="3" s="1"/>
  <c r="H14" i="3" s="1"/>
  <c r="O11" i="2"/>
  <c r="F16" i="3" s="1"/>
  <c r="G16" i="3" s="1"/>
  <c r="H16" i="3" s="1"/>
  <c r="O19" i="2"/>
  <c r="F4" i="3" s="1"/>
  <c r="G4" i="3" s="1"/>
  <c r="H4" i="3" s="1"/>
  <c r="O12" i="2"/>
  <c r="F3" i="3" s="1"/>
  <c r="O20" i="2"/>
  <c r="F7" i="3" s="1"/>
  <c r="G7" i="3" s="1"/>
  <c r="H7" i="3" s="1"/>
  <c r="O5" i="2"/>
  <c r="F24" i="3" s="1"/>
  <c r="G24" i="3" s="1"/>
  <c r="H24" i="3" s="1"/>
  <c r="G3" i="3" l="1"/>
  <c r="F26" i="3"/>
  <c r="O26" i="2"/>
  <c r="H3" i="3" l="1"/>
  <c r="H27" i="3" s="1"/>
  <c r="G26" i="3"/>
  <c r="H26" i="3" l="1"/>
  <c r="M31" i="3" l="1"/>
</calcChain>
</file>

<file path=xl/comments1.xml><?xml version="1.0" encoding="utf-8"?>
<comments xmlns="http://schemas.openxmlformats.org/spreadsheetml/2006/main">
  <authors>
    <author>Henriette</author>
  </authors>
  <commentList>
    <comment ref="K4" authorId="0">
      <text>
        <r>
          <rPr>
            <b/>
            <sz val="9"/>
            <color indexed="81"/>
            <rFont val="Tahoma"/>
            <charset val="1"/>
          </rPr>
          <t>Henriette:</t>
        </r>
        <r>
          <rPr>
            <sz val="9"/>
            <color indexed="81"/>
            <rFont val="Tahoma"/>
            <charset val="1"/>
          </rPr>
          <t xml:space="preserve">
Husk at navnene ikke må være ens!
Lige nu beregner funktionen ud fra "contains" for dem der skal betale.</t>
        </r>
      </text>
    </comment>
    <comment ref="I61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Ingen egentlig funktion.</t>
        </r>
      </text>
    </comment>
  </commentList>
</comments>
</file>

<file path=xl/comments2.xml><?xml version="1.0" encoding="utf-8"?>
<comments xmlns="http://schemas.openxmlformats.org/spreadsheetml/2006/main">
  <authors>
    <author>Henriette</author>
  </authors>
  <commentList>
    <comment ref="E8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Data tilføjes separat til enkeltpersonen fra 'TShirtKoeb'.</t>
        </r>
      </text>
    </comment>
    <comment ref="I8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Medregnes andetsteds.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'Alle' med 23, er inkl. Kathrine.</t>
        </r>
      </text>
    </comment>
    <comment ref="E10" authorId="0">
      <text>
        <r>
          <rPr>
            <b/>
            <sz val="9"/>
            <color indexed="81"/>
            <rFont val="Tahoma"/>
            <charset val="1"/>
          </rPr>
          <t>Henriette:</t>
        </r>
        <r>
          <rPr>
            <sz val="9"/>
            <color indexed="81"/>
            <rFont val="Tahoma"/>
            <charset val="1"/>
          </rPr>
          <t xml:space="preserve">
Egne betalinger for sprut trukket fra.</t>
        </r>
      </text>
    </comment>
    <comment ref="D16" authorId="0">
      <text>
        <r>
          <rPr>
            <b/>
            <sz val="9"/>
            <color indexed="81"/>
            <rFont val="Tahoma"/>
            <charset val="1"/>
          </rPr>
          <t>Henriette:</t>
        </r>
        <r>
          <rPr>
            <sz val="9"/>
            <color indexed="81"/>
            <rFont val="Tahoma"/>
            <charset val="1"/>
          </rPr>
          <t xml:space="preserve">
nr. 2 kvittering: 
07-04-2014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Kvittering tilføjet i mappen Kvitteringer i Google Drive</t>
        </r>
      </text>
    </comment>
    <comment ref="E22" authorId="0">
      <text>
        <r>
          <rPr>
            <b/>
            <sz val="9"/>
            <color indexed="81"/>
            <rFont val="Tahoma"/>
            <charset val="1"/>
          </rPr>
          <t>Henriette:</t>
        </r>
        <r>
          <rPr>
            <sz val="9"/>
            <color indexed="81"/>
            <rFont val="Tahoma"/>
            <charset val="1"/>
          </rPr>
          <t xml:space="preserve">
Øl trukket fra. Egen betaling
</t>
        </r>
      </text>
    </comment>
    <comment ref="E23" authorId="0">
      <text>
        <r>
          <rPr>
            <b/>
            <sz val="9"/>
            <color indexed="81"/>
            <rFont val="Tahoma"/>
            <charset val="1"/>
          </rPr>
          <t>Henriette:</t>
        </r>
        <r>
          <rPr>
            <sz val="9"/>
            <color indexed="81"/>
            <rFont val="Tahoma"/>
            <charset val="1"/>
          </rPr>
          <t xml:space="preserve">
Fratrukket Faxe Kondi booster af Vinther.</t>
        </r>
      </text>
    </comment>
    <comment ref="D24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Hjem 17-08-2014</t>
        </r>
      </text>
    </comment>
    <comment ref="D25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Hjem 17-08-2014</t>
        </r>
      </text>
    </comment>
    <comment ref="D26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Hjem 17-08-2014</t>
        </r>
      </text>
    </comment>
    <comment ref="D27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Hjem 17-08-2014</t>
        </r>
      </text>
    </comment>
    <comment ref="D28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Hjem 17-08-2014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Andet medregnes separat. Se 'Deltagere'.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Den oprindelige regning er splittet op i 2. Alkohol og slik/sodavand 2/2.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Den oprindelige regning er splittet op i slik/sodavand og alkohol.
1/2</t>
        </r>
      </text>
    </comment>
    <comment ref="E36" authorId="0">
      <text>
        <r>
          <rPr>
            <b/>
            <sz val="9"/>
            <color indexed="81"/>
            <rFont val="Tahoma"/>
            <charset val="1"/>
          </rPr>
          <t>Henriette:</t>
        </r>
        <r>
          <rPr>
            <sz val="9"/>
            <color indexed="81"/>
            <rFont val="Tahoma"/>
            <charset val="1"/>
          </rPr>
          <t xml:space="preserve">
De 115 på vej hjem er betalt over Annas rejsekort.</t>
        </r>
      </text>
    </comment>
    <comment ref="E37" authorId="0">
      <text>
        <r>
          <rPr>
            <b/>
            <sz val="9"/>
            <color indexed="81"/>
            <rFont val="Tahoma"/>
            <charset val="1"/>
          </rPr>
          <t>Henriette:</t>
        </r>
        <r>
          <rPr>
            <sz val="9"/>
            <color indexed="81"/>
            <rFont val="Tahoma"/>
            <charset val="1"/>
          </rPr>
          <t xml:space="preserve">
Smøger trukket fra regningen.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Den oprindelige regning er splittet op i slik/sodavand og alkohol. 2/2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Den oprindelige regning er splittet op i to. Alkohol og slik/sodavand 1/2</t>
        </r>
      </text>
    </comment>
    <comment ref="D40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2 kvitteringer, 'Kvitteringer' Google Drive.</t>
        </r>
      </text>
    </comment>
    <comment ref="B60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Kvitteringer i mappen Kvitteringer på Google Drive</t>
        </r>
      </text>
    </comment>
    <comment ref="I61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Ingen egentlig funktion.</t>
        </r>
      </text>
    </comment>
  </commentList>
</comments>
</file>

<file path=xl/comments3.xml><?xml version="1.0" encoding="utf-8"?>
<comments xmlns="http://schemas.openxmlformats.org/spreadsheetml/2006/main">
  <authors>
    <author>Henriette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Dette tal er en indikator for, hvor mange dage der i alt er blevet drukket og er altså den konstant der divideres med for at udregne enkeltpersonens skyldige beløb.</t>
        </r>
      </text>
    </comment>
    <comment ref="B7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Alle betaler for slik og søde sager. Dette er fordelt ud på de dage man har været i hytten.</t>
        </r>
      </text>
    </comment>
    <comment ref="B8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Denne pris er det gennemsnitlige beløb der skal betales for en ølregning. 
Dette afhænger selvfølgelig af, hvor længe man var med på forberedelsesturen og hvor mange dage man drak.</t>
        </r>
      </text>
    </comment>
  </commentList>
</comments>
</file>

<file path=xl/comments4.xml><?xml version="1.0" encoding="utf-8"?>
<comments xmlns="http://schemas.openxmlformats.org/spreadsheetml/2006/main">
  <authors>
    <author>Henriette</author>
  </authors>
  <commentList>
    <comment ref="O2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Har personen ikke MobilePay, kontakt selv personen for kontooplysninger.
Eller se:
https://www.campusnet.dtu.dk/cnnet/element/index.aspx?elementid=452861</t>
        </r>
      </text>
    </comment>
    <comment ref="D13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#Frederik/Frederikke</t>
        </r>
      </text>
    </comment>
    <comment ref="A20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Betaler naturligvis kun for de udlæg der er møde- og OPtursrelateret.
Udregninger afviger fra standard.</t>
        </r>
      </text>
    </comment>
    <comment ref="B24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Link til T-shirts tilføjet datarække manuelt.</t>
        </r>
      </text>
    </comment>
  </commentList>
</comments>
</file>

<file path=xl/comments5.xml><?xml version="1.0" encoding="utf-8"?>
<comments xmlns="http://schemas.openxmlformats.org/spreadsheetml/2006/main">
  <authors>
    <author>Henriette</author>
  </authors>
  <commentList>
    <comment ref="N2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Har personen ikke MobilePay, kontakt selv personen for kontooplysninger.
Eller se:
https://www.campusnet.dtu.dk/cnnet/element/index.aspx?elementid=452861</t>
        </r>
      </text>
    </comment>
    <comment ref="O2" authorId="0">
      <text>
        <r>
          <rPr>
            <b/>
            <sz val="9"/>
            <color indexed="81"/>
            <rFont val="Tahoma"/>
            <family val="2"/>
          </rPr>
          <t>Henriette:</t>
        </r>
        <r>
          <rPr>
            <sz val="9"/>
            <color indexed="81"/>
            <rFont val="Tahoma"/>
            <family val="2"/>
          </rPr>
          <t xml:space="preserve">
Udfyldes af Henriette.</t>
        </r>
      </text>
    </comment>
  </commentList>
</comments>
</file>

<file path=xl/sharedStrings.xml><?xml version="1.0" encoding="utf-8"?>
<sst xmlns="http://schemas.openxmlformats.org/spreadsheetml/2006/main" count="276" uniqueCount="132">
  <si>
    <t>Vektorer + KABS</t>
  </si>
  <si>
    <t>Hyttebumser</t>
  </si>
  <si>
    <t xml:space="preserve">Anne </t>
  </si>
  <si>
    <t>Beskrivelse</t>
  </si>
  <si>
    <t>Beløb</t>
  </si>
  <si>
    <t>Pernille</t>
  </si>
  <si>
    <t>Brit</t>
  </si>
  <si>
    <t>Ingelise</t>
  </si>
  <si>
    <t>Henriette</t>
  </si>
  <si>
    <t>Emma</t>
  </si>
  <si>
    <t>Vinther</t>
  </si>
  <si>
    <t>Emil</t>
  </si>
  <si>
    <t>Camilla</t>
  </si>
  <si>
    <t>Cirkeline</t>
  </si>
  <si>
    <t>Anna</t>
  </si>
  <si>
    <t>Bodilsen</t>
  </si>
  <si>
    <t>Mick</t>
  </si>
  <si>
    <t>Henrik</t>
  </si>
  <si>
    <t>Anders</t>
  </si>
  <si>
    <t>Michel</t>
  </si>
  <si>
    <t>Mads</t>
  </si>
  <si>
    <t>Jakob</t>
  </si>
  <si>
    <t>Anton</t>
  </si>
  <si>
    <t>Regnskab - Klinteborg 2014</t>
  </si>
  <si>
    <t>Dato</t>
  </si>
  <si>
    <t>Deltagere</t>
  </si>
  <si>
    <t>Udlagt af</t>
  </si>
  <si>
    <t>Møde</t>
  </si>
  <si>
    <t>Anledning</t>
  </si>
  <si>
    <t>Alle</t>
  </si>
  <si>
    <t>-</t>
  </si>
  <si>
    <t>Anne</t>
  </si>
  <si>
    <t>Frederik</t>
  </si>
  <si>
    <t>Frederikke</t>
  </si>
  <si>
    <t>Joachim</t>
  </si>
  <si>
    <t>Kathrine</t>
  </si>
  <si>
    <t>SUM</t>
  </si>
  <si>
    <t>Forberedelsestur</t>
  </si>
  <si>
    <t xml:space="preserve">Hvem-var-der-hvornår-skemaet </t>
  </si>
  <si>
    <t>Mandag</t>
  </si>
  <si>
    <t>Tirsdag</t>
  </si>
  <si>
    <t>Onsdag</t>
  </si>
  <si>
    <t>Torsdag</t>
  </si>
  <si>
    <t>Fredag</t>
  </si>
  <si>
    <t>Lørdag</t>
  </si>
  <si>
    <t>Søndag</t>
  </si>
  <si>
    <t>Dage</t>
  </si>
  <si>
    <t>Ædrudage</t>
  </si>
  <si>
    <t>Samlet antal drukdage</t>
  </si>
  <si>
    <t>Row Labels</t>
  </si>
  <si>
    <t>Grand Total</t>
  </si>
  <si>
    <t>Indkøb</t>
  </si>
  <si>
    <t>Column Labels</t>
  </si>
  <si>
    <t>(All)</t>
  </si>
  <si>
    <t>Penge brugt på alkohol</t>
  </si>
  <si>
    <t>Druk-konstanten</t>
  </si>
  <si>
    <t>Vejl. Pris</t>
  </si>
  <si>
    <t>SAMLET</t>
  </si>
  <si>
    <t>Penge på sodavand/slik/færge</t>
  </si>
  <si>
    <t>De Søde Sagers Bidrag</t>
  </si>
  <si>
    <t>At betale for færgeindkøb</t>
  </si>
  <si>
    <t>Samlet udlæg</t>
  </si>
  <si>
    <t>Samlet</t>
  </si>
  <si>
    <t>Antal</t>
  </si>
  <si>
    <t>Antal vektorer</t>
  </si>
  <si>
    <t>Beløb pr. Deltager</t>
  </si>
  <si>
    <t>Vektorer + KABS + HB</t>
  </si>
  <si>
    <t>Balance</t>
  </si>
  <si>
    <t>Generel info om arket</t>
  </si>
  <si>
    <t xml:space="preserve">Hej venner, </t>
  </si>
  <si>
    <t>Så er der endelig kommet styr på intern økonomi.</t>
  </si>
  <si>
    <t>Dog er der nogle undtagelser:</t>
  </si>
  <si>
    <t xml:space="preserve">I fanen 'Main' er alle udlæg som jeg har modtaget listet op. Disse kan filtreres efter alle headers, hvis I kunne tænke </t>
  </si>
  <si>
    <t xml:space="preserve">Jer at se dem efter dato, person eller lign. Alle personer der skylder for et bestemt udlæg er tilføjet under headeren </t>
  </si>
  <si>
    <t>deltagere' og det er disse der er udgangspunktet for beregningerne der sker i 'Betalinger'.</t>
  </si>
  <si>
    <t>Dette er der alt sammen taget højde for!</t>
  </si>
  <si>
    <t>Al denne information er i principet ligegyldig!</t>
  </si>
  <si>
    <t xml:space="preserve">Hyttebumser er selvfølgelig kun talt med fra deres første møde - når de har været tilstede. </t>
  </si>
  <si>
    <t>Øregnskabet er et ret omstændigt sheet og jeg har derfor valgt at låse det -- faktisk har jeg låst alle sheets.</t>
  </si>
  <si>
    <t xml:space="preserve">Tak for Jeres tålmodighed </t>
  </si>
  <si>
    <t>// Henriette</t>
  </si>
  <si>
    <t>Det I skal fokusere på, er 'Betalinger'. Her er alle udlæg/skyldige beløb summeret og en balance er udregnet for hver person.</t>
  </si>
  <si>
    <r>
      <t>I overfører til den person der står på listen og når dette er gjort skal JEG have en notifikation,</t>
    </r>
    <r>
      <rPr>
        <b/>
        <sz val="11"/>
        <color theme="1"/>
        <rFont val="Cambria"/>
        <family val="1"/>
        <scheme val="major"/>
      </rPr>
      <t xml:space="preserve"> det er bedst for alle ;-)</t>
    </r>
  </si>
  <si>
    <t>Jeg har været mødeoversigter igennem for vores møder og har  tilføjet de personer der er skrevet på som tilstedeværende</t>
  </si>
  <si>
    <t>Fordi forskellige vektorer har været tilstede på forskellige tidspunkter på forberedelsesturen og har drukket/ikke drukket</t>
  </si>
  <si>
    <t xml:space="preserve">forskellige dage, er udregningerne for dette lavet separat. Alt forbundet med dette ses under 'Deltagere' som består af de </t>
  </si>
  <si>
    <t>Betaling for t-shirts til OPtur, er lavet hver for sig da det, den individuelle skal betale varierer.</t>
  </si>
  <si>
    <r>
      <t xml:space="preserve">beregninger der er lavet på baggrund af ture over grænsen og inddelt i slik/sodavand og alkohol. </t>
    </r>
    <r>
      <rPr>
        <i/>
        <sz val="11"/>
        <color theme="1"/>
        <rFont val="Cambria"/>
        <family val="1"/>
        <scheme val="major"/>
      </rPr>
      <t>#NotAWalkInThePark</t>
    </r>
  </si>
  <si>
    <t>til de forskellige udæg. (Pleease, bær lige over med mig, det er et skodjob :P)</t>
  </si>
  <si>
    <t>Samlet forbrug</t>
  </si>
  <si>
    <t>MobilePay</t>
  </si>
  <si>
    <t>Afsluttet</t>
  </si>
  <si>
    <t>Afsluttede overførsler</t>
  </si>
  <si>
    <t>Mangler</t>
  </si>
  <si>
    <t>Overførsler i alt</t>
  </si>
  <si>
    <t>4032 5570</t>
  </si>
  <si>
    <t>4078 7775</t>
  </si>
  <si>
    <t>2944 2934</t>
  </si>
  <si>
    <t>2990 3690</t>
  </si>
  <si>
    <t>3034 7689</t>
  </si>
  <si>
    <t>6064 4016</t>
  </si>
  <si>
    <t>2284 2433</t>
  </si>
  <si>
    <t>3126 4079</t>
  </si>
  <si>
    <t>x</t>
  </si>
  <si>
    <t>Værditjek</t>
  </si>
  <si>
    <t>T-shirt</t>
  </si>
  <si>
    <t>Samlet oversigt</t>
  </si>
  <si>
    <t>Anvarlig: Henriette Steenhoff, s134869</t>
  </si>
  <si>
    <t>Personlig</t>
  </si>
  <si>
    <t>Alle/fælles</t>
  </si>
  <si>
    <t>Modtagere</t>
  </si>
  <si>
    <t>Modtager fra</t>
  </si>
  <si>
    <t>Hvem-skylder-hvem overførselsoversigt</t>
  </si>
  <si>
    <t>Restbeløb</t>
  </si>
  <si>
    <t>I alt</t>
  </si>
  <si>
    <t>Anna (1/2)</t>
  </si>
  <si>
    <t>Anna (2/2)</t>
  </si>
  <si>
    <t>Mads (1/2)</t>
  </si>
  <si>
    <t>Cirkeline (1/2)</t>
  </si>
  <si>
    <t>Cirkeline (2/2)</t>
  </si>
  <si>
    <t>Frederikke (1/2)</t>
  </si>
  <si>
    <t>Bodilsen (1/2)</t>
  </si>
  <si>
    <t>Bodilsen (2/2)</t>
  </si>
  <si>
    <t>Mads (2/2)</t>
  </si>
  <si>
    <t>Kathrine (1/2)</t>
  </si>
  <si>
    <t>Kathrine (2/2)</t>
  </si>
  <si>
    <t>Frederikke(2/2)</t>
  </si>
  <si>
    <t>Mick(2/2)</t>
  </si>
  <si>
    <t>Procentvist afsluttet</t>
  </si>
  <si>
    <t>Regnskab - Klinteborg 2014 - Post Rustur</t>
  </si>
  <si>
    <t>Beløb/deltager</t>
  </si>
  <si>
    <t>Bagberedelsestur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</si>
</sst>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[$kr.-406]\ * #,##0.00_ ;_ [$kr.-406]\ * \-#,##0.00_ ;_ [$kr.-406]\ * &quot;-&quot;??_ ;_ @_ "/>
    <numFmt numFmtId="165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rgb="FF000000"/>
      <name val="Arial Unicode MS"/>
      <family val="2"/>
    </font>
    <font>
      <b/>
      <sz val="13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i/>
      <sz val="20"/>
      <color theme="1"/>
      <name val="Cambria"/>
      <family val="1"/>
      <scheme val="major"/>
    </font>
    <font>
      <sz val="11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b/>
      <i/>
      <sz val="11"/>
      <color theme="1"/>
      <name val="Cambria"/>
      <family val="1"/>
      <scheme val="major"/>
    </font>
    <font>
      <i/>
      <sz val="11"/>
      <color rgb="FFFF0000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5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59999389629810485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164" fontId="0" fillId="0" borderId="0"/>
    <xf numFmtId="164" fontId="5" fillId="0" borderId="0" applyNumberFormat="0" applyFill="0" applyBorder="0" applyAlignment="0" applyProtection="0"/>
  </cellStyleXfs>
  <cellXfs count="196">
    <xf numFmtId="164" fontId="0" fillId="0" borderId="0" xfId="0"/>
    <xf numFmtId="164" fontId="0" fillId="0" borderId="0" xfId="0"/>
    <xf numFmtId="164" fontId="1" fillId="0" borderId="0" xfId="0" applyFont="1"/>
    <xf numFmtId="164" fontId="1" fillId="0" borderId="7" xfId="0" applyFont="1" applyBorder="1"/>
    <xf numFmtId="164" fontId="1" fillId="0" borderId="0" xfId="0" applyFont="1" applyBorder="1"/>
    <xf numFmtId="164" fontId="0" fillId="0" borderId="7" xfId="0" applyBorder="1" applyAlignment="1">
      <alignment vertical="top"/>
    </xf>
    <xf numFmtId="164" fontId="0" fillId="0" borderId="0" xfId="0" applyBorder="1" applyAlignment="1">
      <alignment vertical="top"/>
    </xf>
    <xf numFmtId="14" fontId="0" fillId="0" borderId="0" xfId="0" applyNumberFormat="1" applyBorder="1" applyAlignment="1">
      <alignment vertical="top"/>
    </xf>
    <xf numFmtId="164" fontId="0" fillId="0" borderId="0" xfId="0" applyNumberFormat="1" applyBorder="1" applyAlignment="1">
      <alignment vertical="top"/>
    </xf>
    <xf numFmtId="164" fontId="0" fillId="0" borderId="8" xfId="0" applyBorder="1" applyAlignment="1">
      <alignment wrapText="1"/>
    </xf>
    <xf numFmtId="164" fontId="0" fillId="0" borderId="7" xfId="0" applyBorder="1" applyAlignment="1"/>
    <xf numFmtId="164" fontId="0" fillId="0" borderId="0" xfId="0" applyBorder="1" applyAlignment="1"/>
    <xf numFmtId="14" fontId="0" fillId="0" borderId="0" xfId="0" applyNumberFormat="1" applyBorder="1" applyAlignment="1"/>
    <xf numFmtId="164" fontId="0" fillId="0" borderId="0" xfId="0" applyNumberFormat="1" applyBorder="1" applyAlignment="1"/>
    <xf numFmtId="164" fontId="1" fillId="0" borderId="0" xfId="0" applyFont="1" applyAlignment="1">
      <alignment vertical="center"/>
    </xf>
    <xf numFmtId="164" fontId="0" fillId="0" borderId="0" xfId="0" applyAlignment="1">
      <alignment vertical="center"/>
    </xf>
    <xf numFmtId="164" fontId="1" fillId="0" borderId="12" xfId="0" applyFont="1" applyBorder="1"/>
    <xf numFmtId="1" fontId="0" fillId="0" borderId="12" xfId="0" applyNumberFormat="1" applyFill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164" fontId="0" fillId="0" borderId="0" xfId="0" pivotButton="1"/>
    <xf numFmtId="164" fontId="0" fillId="0" borderId="0" xfId="0" applyAlignment="1">
      <alignment horizontal="left"/>
    </xf>
    <xf numFmtId="164" fontId="1" fillId="0" borderId="8" xfId="0" applyFont="1" applyBorder="1" applyAlignment="1">
      <alignment wrapText="1"/>
    </xf>
    <xf numFmtId="164" fontId="0" fillId="0" borderId="0" xfId="0" applyAlignment="1">
      <alignment wrapText="1"/>
    </xf>
    <xf numFmtId="164" fontId="1" fillId="2" borderId="12" xfId="0" applyFont="1" applyFill="1" applyBorder="1" applyAlignment="1">
      <alignment horizontal="center"/>
    </xf>
    <xf numFmtId="164" fontId="0" fillId="6" borderId="12" xfId="0" applyFill="1" applyBorder="1"/>
    <xf numFmtId="14" fontId="0" fillId="5" borderId="12" xfId="0" applyNumberFormat="1" applyFill="1" applyBorder="1" applyAlignment="1">
      <alignment horizontal="center"/>
    </xf>
    <xf numFmtId="164" fontId="0" fillId="2" borderId="12" xfId="0" applyFill="1" applyBorder="1" applyAlignment="1">
      <alignment horizontal="center"/>
    </xf>
    <xf numFmtId="164" fontId="8" fillId="2" borderId="12" xfId="0" applyFont="1" applyFill="1" applyBorder="1"/>
    <xf numFmtId="164" fontId="8" fillId="5" borderId="12" xfId="0" applyFont="1" applyFill="1" applyBorder="1"/>
    <xf numFmtId="164" fontId="0" fillId="7" borderId="12" xfId="0" applyFill="1" applyBorder="1"/>
    <xf numFmtId="1" fontId="0" fillId="7" borderId="12" xfId="0" applyNumberFormat="1" applyFill="1" applyBorder="1" applyAlignment="1">
      <alignment horizontal="right"/>
    </xf>
    <xf numFmtId="164" fontId="0" fillId="0" borderId="0" xfId="0" applyBorder="1"/>
    <xf numFmtId="164" fontId="0" fillId="2" borderId="13" xfId="0" applyFill="1" applyBorder="1" applyAlignment="1">
      <alignment horizontal="center"/>
    </xf>
    <xf numFmtId="14" fontId="0" fillId="2" borderId="14" xfId="0" applyNumberFormat="1" applyFill="1" applyBorder="1" applyAlignment="1">
      <alignment horizontal="center"/>
    </xf>
    <xf numFmtId="1" fontId="0" fillId="2" borderId="12" xfId="0" applyNumberFormat="1" applyFill="1" applyBorder="1" applyAlignment="1">
      <alignment horizontal="center"/>
    </xf>
    <xf numFmtId="2" fontId="0" fillId="0" borderId="0" xfId="0" applyNumberFormat="1"/>
    <xf numFmtId="1" fontId="0" fillId="0" borderId="0" xfId="0" applyNumberFormat="1"/>
    <xf numFmtId="1" fontId="0" fillId="5" borderId="12" xfId="0" applyNumberFormat="1" applyFill="1" applyBorder="1" applyAlignment="1">
      <alignment horizontal="center"/>
    </xf>
    <xf numFmtId="164" fontId="1" fillId="0" borderId="0" xfId="0" applyFont="1" applyBorder="1" applyAlignment="1">
      <alignment horizontal="center" wrapText="1"/>
    </xf>
    <xf numFmtId="164" fontId="0" fillId="0" borderId="0" xfId="0" applyAlignment="1">
      <alignment horizontal="center" wrapText="1"/>
    </xf>
    <xf numFmtId="164" fontId="10" fillId="0" borderId="0" xfId="0" applyFont="1"/>
    <xf numFmtId="164" fontId="0" fillId="0" borderId="4" xfId="0" applyBorder="1"/>
    <xf numFmtId="1" fontId="0" fillId="0" borderId="16" xfId="0" applyNumberFormat="1" applyBorder="1" applyAlignment="1">
      <alignment horizontal="center" wrapText="1"/>
    </xf>
    <xf numFmtId="164" fontId="0" fillId="0" borderId="16" xfId="0" applyBorder="1" applyAlignment="1">
      <alignment horizontal="center" wrapText="1"/>
    </xf>
    <xf numFmtId="164" fontId="0" fillId="7" borderId="0" xfId="0" applyFill="1"/>
    <xf numFmtId="164" fontId="0" fillId="0" borderId="0" xfId="0" applyAlignment="1">
      <alignment horizontal="center"/>
    </xf>
    <xf numFmtId="164" fontId="1" fillId="0" borderId="8" xfId="0" applyFont="1" applyBorder="1"/>
    <xf numFmtId="164" fontId="0" fillId="0" borderId="8" xfId="0" applyBorder="1"/>
    <xf numFmtId="164" fontId="1" fillId="3" borderId="9" xfId="0" applyFont="1" applyFill="1" applyBorder="1"/>
    <xf numFmtId="164" fontId="1" fillId="3" borderId="10" xfId="0" applyFont="1" applyFill="1" applyBorder="1"/>
    <xf numFmtId="164" fontId="5" fillId="0" borderId="0" xfId="1" applyNumberFormat="1" applyBorder="1" applyAlignment="1">
      <alignment horizontal="right"/>
    </xf>
    <xf numFmtId="164" fontId="1" fillId="3" borderId="10" xfId="0" applyNumberFormat="1" applyFont="1" applyFill="1" applyBorder="1"/>
    <xf numFmtId="164" fontId="0" fillId="0" borderId="0" xfId="0" applyBorder="1" applyAlignment="1">
      <alignment wrapText="1"/>
    </xf>
    <xf numFmtId="164" fontId="1" fillId="3" borderId="11" xfId="0" applyFont="1" applyFill="1" applyBorder="1" applyAlignment="1">
      <alignment wrapText="1"/>
    </xf>
    <xf numFmtId="164" fontId="1" fillId="3" borderId="14" xfId="0" applyFont="1" applyFill="1" applyBorder="1" applyAlignment="1">
      <alignment horizontal="center" wrapText="1"/>
    </xf>
    <xf numFmtId="164" fontId="11" fillId="2" borderId="12" xfId="0" applyFont="1" applyFill="1" applyBorder="1" applyAlignment="1">
      <alignment horizontal="center" vertical="center"/>
    </xf>
    <xf numFmtId="164" fontId="0" fillId="0" borderId="12" xfId="0" applyBorder="1"/>
    <xf numFmtId="164" fontId="0" fillId="0" borderId="0" xfId="0" applyFill="1" applyBorder="1"/>
    <xf numFmtId="164" fontId="0" fillId="0" borderId="15" xfId="0" applyFont="1" applyFill="1" applyBorder="1"/>
    <xf numFmtId="164" fontId="0" fillId="0" borderId="6" xfId="0" applyBorder="1"/>
    <xf numFmtId="164" fontId="0" fillId="10" borderId="8" xfId="0" applyFill="1" applyBorder="1"/>
    <xf numFmtId="164" fontId="0" fillId="10" borderId="0" xfId="0" applyFill="1" applyBorder="1" applyAlignment="1">
      <alignment horizontal="center"/>
    </xf>
    <xf numFmtId="164" fontId="14" fillId="10" borderId="5" xfId="0" applyFont="1" applyFill="1" applyBorder="1"/>
    <xf numFmtId="164" fontId="14" fillId="10" borderId="4" xfId="0" applyFont="1" applyFill="1" applyBorder="1"/>
    <xf numFmtId="164" fontId="14" fillId="10" borderId="6" xfId="0" applyFont="1" applyFill="1" applyBorder="1"/>
    <xf numFmtId="164" fontId="14" fillId="10" borderId="7" xfId="0" applyFont="1" applyFill="1" applyBorder="1"/>
    <xf numFmtId="164" fontId="14" fillId="10" borderId="0" xfId="0" applyFont="1" applyFill="1" applyBorder="1"/>
    <xf numFmtId="164" fontId="14" fillId="10" borderId="8" xfId="0" applyFont="1" applyFill="1" applyBorder="1"/>
    <xf numFmtId="164" fontId="15" fillId="10" borderId="7" xfId="0" applyFont="1" applyFill="1" applyBorder="1"/>
    <xf numFmtId="164" fontId="14" fillId="10" borderId="7" xfId="0" quotePrefix="1" applyFont="1" applyFill="1" applyBorder="1"/>
    <xf numFmtId="164" fontId="16" fillId="10" borderId="7" xfId="0" applyFont="1" applyFill="1" applyBorder="1"/>
    <xf numFmtId="164" fontId="17" fillId="10" borderId="7" xfId="0" applyFont="1" applyFill="1" applyBorder="1"/>
    <xf numFmtId="164" fontId="14" fillId="0" borderId="0" xfId="0" applyFont="1"/>
    <xf numFmtId="164" fontId="15" fillId="10" borderId="0" xfId="0" applyFont="1" applyFill="1" applyBorder="1" applyAlignment="1">
      <alignment horizontal="center"/>
    </xf>
    <xf numFmtId="164" fontId="14" fillId="10" borderId="9" xfId="0" applyFont="1" applyFill="1" applyBorder="1"/>
    <xf numFmtId="164" fontId="14" fillId="10" borderId="10" xfId="0" applyFont="1" applyFill="1" applyBorder="1"/>
    <xf numFmtId="164" fontId="14" fillId="10" borderId="11" xfId="0" applyFont="1" applyFill="1" applyBorder="1"/>
    <xf numFmtId="0" fontId="0" fillId="2" borderId="12" xfId="0" applyNumberFormat="1" applyFill="1" applyBorder="1"/>
    <xf numFmtId="0" fontId="0" fillId="8" borderId="12" xfId="0" applyNumberFormat="1" applyFill="1" applyBorder="1" applyAlignment="1">
      <alignment horizontal="left"/>
    </xf>
    <xf numFmtId="164" fontId="0" fillId="7" borderId="0" xfId="0" applyFill="1" applyBorder="1"/>
    <xf numFmtId="164" fontId="0" fillId="0" borderId="16" xfId="0" applyBorder="1"/>
    <xf numFmtId="164" fontId="11" fillId="2" borderId="1" xfId="0" applyFont="1" applyFill="1" applyBorder="1" applyAlignment="1">
      <alignment horizontal="center" vertical="center"/>
    </xf>
    <xf numFmtId="164" fontId="0" fillId="0" borderId="13" xfId="0" applyBorder="1"/>
    <xf numFmtId="164" fontId="0" fillId="0" borderId="0" xfId="0" applyBorder="1" applyAlignment="1">
      <alignment horizontal="center"/>
    </xf>
    <xf numFmtId="164" fontId="0" fillId="3" borderId="11" xfId="0" applyFill="1" applyBorder="1"/>
    <xf numFmtId="164" fontId="11" fillId="2" borderId="3" xfId="0" applyFont="1" applyFill="1" applyBorder="1" applyAlignment="1">
      <alignment horizontal="center" vertical="center"/>
    </xf>
    <xf numFmtId="164" fontId="10" fillId="0" borderId="0" xfId="0" applyFont="1" applyFill="1" applyBorder="1"/>
    <xf numFmtId="0" fontId="0" fillId="0" borderId="0" xfId="0" applyNumberFormat="1" applyBorder="1"/>
    <xf numFmtId="0" fontId="0" fillId="0" borderId="8" xfId="0" applyNumberFormat="1" applyBorder="1"/>
    <xf numFmtId="0" fontId="0" fillId="0" borderId="0" xfId="0" applyNumberFormat="1" applyBorder="1" applyAlignment="1">
      <alignment vertical="top"/>
    </xf>
    <xf numFmtId="0" fontId="0" fillId="0" borderId="8" xfId="0" applyNumberFormat="1" applyBorder="1" applyAlignment="1">
      <alignment wrapText="1"/>
    </xf>
    <xf numFmtId="0" fontId="0" fillId="0" borderId="8" xfId="0" applyNumberFormat="1" applyBorder="1" applyAlignment="1"/>
    <xf numFmtId="0" fontId="0" fillId="0" borderId="0" xfId="0" applyNumberFormat="1" applyBorder="1" applyAlignment="1"/>
    <xf numFmtId="0" fontId="0" fillId="9" borderId="8" xfId="0" applyNumberFormat="1" applyFont="1" applyFill="1" applyBorder="1"/>
    <xf numFmtId="0" fontId="0" fillId="0" borderId="0" xfId="0" applyNumberFormat="1" applyBorder="1" applyAlignment="1">
      <alignment wrapText="1"/>
    </xf>
    <xf numFmtId="0" fontId="0" fillId="0" borderId="15" xfId="0" applyNumberFormat="1" applyBorder="1" applyAlignment="1">
      <alignment wrapText="1"/>
    </xf>
    <xf numFmtId="0" fontId="0" fillId="7" borderId="13" xfId="0" applyNumberFormat="1" applyFill="1" applyBorder="1" applyAlignment="1">
      <alignment horizontal="center"/>
    </xf>
    <xf numFmtId="0" fontId="0" fillId="7" borderId="16" xfId="0" applyNumberFormat="1" applyFill="1" applyBorder="1" applyAlignment="1">
      <alignment horizontal="center"/>
    </xf>
    <xf numFmtId="164" fontId="0" fillId="0" borderId="0" xfId="0" applyFill="1" applyBorder="1" applyAlignment="1">
      <alignment horizontal="center"/>
    </xf>
    <xf numFmtId="0" fontId="0" fillId="7" borderId="8" xfId="0" applyNumberFormat="1" applyFill="1" applyBorder="1" applyAlignment="1">
      <alignment horizontal="center"/>
    </xf>
    <xf numFmtId="0" fontId="0" fillId="7" borderId="8" xfId="1" applyNumberFormat="1" applyFont="1" applyFill="1" applyBorder="1" applyAlignment="1">
      <alignment horizontal="center"/>
    </xf>
    <xf numFmtId="164" fontId="0" fillId="0" borderId="8" xfId="0" applyFill="1" applyBorder="1" applyAlignment="1">
      <alignment horizontal="center"/>
    </xf>
    <xf numFmtId="164" fontId="0" fillId="0" borderId="8" xfId="0" applyFill="1" applyBorder="1" applyAlignment="1">
      <alignment horizontal="center" wrapText="1"/>
    </xf>
    <xf numFmtId="164" fontId="11" fillId="0" borderId="16" xfId="0" applyFont="1" applyFill="1" applyBorder="1" applyAlignment="1">
      <alignment horizontal="center" vertical="center"/>
    </xf>
    <xf numFmtId="164" fontId="0" fillId="0" borderId="16" xfId="0" applyFill="1" applyBorder="1" applyAlignment="1">
      <alignment horizontal="center"/>
    </xf>
    <xf numFmtId="164" fontId="0" fillId="0" borderId="16" xfId="0" applyFill="1" applyBorder="1" applyAlignment="1">
      <alignment horizontal="center" wrapText="1"/>
    </xf>
    <xf numFmtId="164" fontId="12" fillId="0" borderId="13" xfId="0" applyFont="1" applyFill="1" applyBorder="1" applyAlignment="1">
      <alignment horizontal="center" vertical="center"/>
    </xf>
    <xf numFmtId="164" fontId="0" fillId="0" borderId="13" xfId="0" applyFill="1" applyBorder="1" applyAlignment="1">
      <alignment horizontal="center"/>
    </xf>
    <xf numFmtId="164" fontId="0" fillId="0" borderId="11" xfId="0" applyFill="1" applyBorder="1" applyAlignment="1">
      <alignment horizontal="center"/>
    </xf>
    <xf numFmtId="0" fontId="0" fillId="7" borderId="11" xfId="0" applyNumberFormat="1" applyFill="1" applyBorder="1" applyAlignment="1">
      <alignment horizontal="center"/>
    </xf>
    <xf numFmtId="0" fontId="0" fillId="0" borderId="12" xfId="0" applyNumberFormat="1" applyBorder="1" applyAlignment="1">
      <alignment horizontal="center"/>
    </xf>
    <xf numFmtId="164" fontId="0" fillId="0" borderId="7" xfId="0" applyFill="1" applyBorder="1" applyAlignment="1">
      <alignment horizontal="center"/>
    </xf>
    <xf numFmtId="164" fontId="11" fillId="2" borderId="6" xfId="0" applyFont="1" applyFill="1" applyBorder="1" applyAlignment="1">
      <alignment horizontal="center" vertical="center"/>
    </xf>
    <xf numFmtId="164" fontId="0" fillId="0" borderId="4" xfId="0" applyBorder="1" applyAlignment="1">
      <alignment horizontal="center"/>
    </xf>
    <xf numFmtId="164" fontId="1" fillId="2" borderId="13" xfId="0" applyFont="1" applyFill="1" applyBorder="1"/>
    <xf numFmtId="164" fontId="1" fillId="0" borderId="13" xfId="0" applyFont="1" applyBorder="1"/>
    <xf numFmtId="164" fontId="0" fillId="0" borderId="5" xfId="0" applyBorder="1" applyAlignment="1">
      <alignment horizontal="center"/>
    </xf>
    <xf numFmtId="164" fontId="1" fillId="0" borderId="4" xfId="0" applyFont="1" applyBorder="1"/>
    <xf numFmtId="164" fontId="1" fillId="0" borderId="4" xfId="0" applyFont="1" applyFill="1" applyBorder="1"/>
    <xf numFmtId="0" fontId="0" fillId="0" borderId="0" xfId="0" applyNumberFormat="1" applyFill="1" applyBorder="1" applyAlignment="1">
      <alignment horizontal="center"/>
    </xf>
    <xf numFmtId="164" fontId="1" fillId="0" borderId="0" xfId="0" applyFont="1" applyFill="1" applyBorder="1"/>
    <xf numFmtId="164" fontId="1" fillId="10" borderId="14" xfId="0" applyFont="1" applyFill="1" applyBorder="1" applyAlignment="1">
      <alignment horizontal="center"/>
    </xf>
    <xf numFmtId="164" fontId="0" fillId="10" borderId="11" xfId="0" applyFill="1" applyBorder="1" applyAlignment="1">
      <alignment horizontal="center"/>
    </xf>
    <xf numFmtId="164" fontId="1" fillId="10" borderId="16" xfId="0" applyFont="1" applyFill="1" applyBorder="1" applyAlignment="1">
      <alignment horizontal="center"/>
    </xf>
    <xf numFmtId="164" fontId="0" fillId="10" borderId="8" xfId="0" applyFill="1" applyBorder="1" applyAlignment="1">
      <alignment horizontal="center"/>
    </xf>
    <xf numFmtId="164" fontId="1" fillId="10" borderId="8" xfId="0" applyFont="1" applyFill="1" applyBorder="1" applyAlignment="1">
      <alignment horizontal="center"/>
    </xf>
    <xf numFmtId="164" fontId="1" fillId="10" borderId="8" xfId="0" applyFont="1" applyFill="1" applyBorder="1" applyAlignment="1">
      <alignment horizontal="center" wrapText="1"/>
    </xf>
    <xf numFmtId="164" fontId="0" fillId="10" borderId="8" xfId="0" applyFill="1" applyBorder="1" applyAlignment="1">
      <alignment horizontal="center" wrapText="1"/>
    </xf>
    <xf numFmtId="164" fontId="1" fillId="10" borderId="13" xfId="0" applyFont="1" applyFill="1" applyBorder="1" applyAlignment="1">
      <alignment horizontal="center"/>
    </xf>
    <xf numFmtId="164" fontId="0" fillId="10" borderId="13" xfId="0" applyFill="1" applyBorder="1" applyAlignment="1">
      <alignment horizontal="center"/>
    </xf>
    <xf numFmtId="164" fontId="0" fillId="10" borderId="16" xfId="0" applyFill="1" applyBorder="1" applyAlignment="1">
      <alignment horizontal="center"/>
    </xf>
    <xf numFmtId="164" fontId="0" fillId="10" borderId="16" xfId="0" applyFill="1" applyBorder="1"/>
    <xf numFmtId="164" fontId="0" fillId="10" borderId="4" xfId="0" applyFill="1" applyBorder="1" applyAlignment="1">
      <alignment horizontal="center"/>
    </xf>
    <xf numFmtId="164" fontId="0" fillId="10" borderId="13" xfId="0" applyFill="1" applyBorder="1"/>
    <xf numFmtId="164" fontId="0" fillId="10" borderId="4" xfId="0" applyFill="1" applyBorder="1" applyAlignment="1">
      <alignment horizontal="center" vertical="center"/>
    </xf>
    <xf numFmtId="164" fontId="0" fillId="10" borderId="0" xfId="0" applyFill="1" applyBorder="1" applyAlignment="1">
      <alignment horizontal="center" vertical="center"/>
    </xf>
    <xf numFmtId="164" fontId="0" fillId="10" borderId="8" xfId="0" applyFill="1" applyBorder="1" applyAlignment="1">
      <alignment horizontal="center" vertical="center"/>
    </xf>
    <xf numFmtId="0" fontId="0" fillId="0" borderId="14" xfId="0" applyNumberFormat="1" applyBorder="1" applyAlignment="1">
      <alignment horizontal="center"/>
    </xf>
    <xf numFmtId="0" fontId="0" fillId="0" borderId="16" xfId="0" applyNumberFormat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1" fillId="0" borderId="0" xfId="0" applyFont="1" applyBorder="1" applyAlignment="1">
      <alignment vertical="center"/>
    </xf>
    <xf numFmtId="164" fontId="1" fillId="0" borderId="8" xfId="0" applyFont="1" applyBorder="1" applyAlignment="1">
      <alignment vertical="center" wrapText="1"/>
    </xf>
    <xf numFmtId="0" fontId="0" fillId="11" borderId="8" xfId="0" applyNumberFormat="1" applyFont="1" applyFill="1" applyBorder="1"/>
    <xf numFmtId="164" fontId="1" fillId="2" borderId="1" xfId="0" applyFont="1" applyFill="1" applyBorder="1" applyAlignment="1">
      <alignment vertical="center"/>
    </xf>
    <xf numFmtId="164" fontId="1" fillId="2" borderId="3" xfId="0" applyFont="1" applyFill="1" applyBorder="1" applyAlignment="1">
      <alignment vertical="center"/>
    </xf>
    <xf numFmtId="164" fontId="0" fillId="5" borderId="7" xfId="0" applyFill="1" applyBorder="1" applyAlignment="1">
      <alignment horizontal="center"/>
    </xf>
    <xf numFmtId="164" fontId="0" fillId="5" borderId="8" xfId="0" applyFill="1" applyBorder="1" applyAlignment="1">
      <alignment horizontal="center"/>
    </xf>
    <xf numFmtId="164" fontId="0" fillId="0" borderId="7" xfId="0" applyBorder="1" applyAlignment="1">
      <alignment horizontal="center"/>
    </xf>
    <xf numFmtId="164" fontId="0" fillId="0" borderId="8" xfId="0" applyBorder="1" applyAlignment="1">
      <alignment horizontal="center"/>
    </xf>
    <xf numFmtId="164" fontId="0" fillId="0" borderId="9" xfId="0" applyBorder="1" applyAlignment="1">
      <alignment horizontal="center"/>
    </xf>
    <xf numFmtId="164" fontId="0" fillId="0" borderId="11" xfId="0" applyBorder="1" applyAlignment="1">
      <alignment horizontal="center"/>
    </xf>
    <xf numFmtId="164" fontId="0" fillId="0" borderId="0" xfId="0" applyNumberFormat="1" applyBorder="1"/>
    <xf numFmtId="1" fontId="1" fillId="0" borderId="0" xfId="0" applyNumberFormat="1" applyFont="1" applyBorder="1" applyAlignment="1">
      <alignment horizontal="center" vertical="center" wrapText="1"/>
    </xf>
    <xf numFmtId="1" fontId="1" fillId="3" borderId="14" xfId="0" applyNumberFormat="1" applyFont="1" applyFill="1" applyBorder="1" applyAlignment="1">
      <alignment horizontal="center" wrapText="1"/>
    </xf>
    <xf numFmtId="164" fontId="13" fillId="2" borderId="12" xfId="0" applyFont="1" applyFill="1" applyBorder="1" applyAlignment="1">
      <alignment horizontal="center" vertical="center"/>
    </xf>
    <xf numFmtId="164" fontId="9" fillId="2" borderId="1" xfId="0" applyFont="1" applyFill="1" applyBorder="1" applyAlignment="1">
      <alignment horizontal="center" vertical="center"/>
    </xf>
    <xf numFmtId="164" fontId="9" fillId="2" borderId="2" xfId="0" applyFont="1" applyFill="1" applyBorder="1" applyAlignment="1">
      <alignment horizontal="center" vertical="center"/>
    </xf>
    <xf numFmtId="164" fontId="9" fillId="2" borderId="3" xfId="0" applyFont="1" applyFill="1" applyBorder="1" applyAlignment="1">
      <alignment horizontal="center" vertical="center"/>
    </xf>
    <xf numFmtId="164" fontId="2" fillId="4" borderId="5" xfId="0" applyFont="1" applyFill="1" applyBorder="1" applyAlignment="1">
      <alignment horizontal="center"/>
    </xf>
    <xf numFmtId="164" fontId="2" fillId="4" borderId="4" xfId="0" applyFont="1" applyFill="1" applyBorder="1" applyAlignment="1">
      <alignment horizontal="center"/>
    </xf>
    <xf numFmtId="164" fontId="2" fillId="4" borderId="6" xfId="0" applyFont="1" applyFill="1" applyBorder="1" applyAlignment="1">
      <alignment horizontal="center"/>
    </xf>
    <xf numFmtId="164" fontId="0" fillId="6" borderId="12" xfId="0" applyFill="1" applyBorder="1" applyAlignment="1">
      <alignment horizontal="center" wrapText="1"/>
    </xf>
    <xf numFmtId="164" fontId="9" fillId="0" borderId="12" xfId="0" applyFont="1" applyBorder="1" applyAlignment="1">
      <alignment horizontal="center" vertical="center"/>
    </xf>
    <xf numFmtId="164" fontId="0" fillId="2" borderId="13" xfId="0" applyFill="1" applyBorder="1" applyAlignment="1">
      <alignment horizontal="center" wrapText="1"/>
    </xf>
    <xf numFmtId="164" fontId="0" fillId="2" borderId="14" xfId="0" applyFill="1" applyBorder="1" applyAlignment="1">
      <alignment horizontal="center" wrapText="1"/>
    </xf>
    <xf numFmtId="164" fontId="0" fillId="2" borderId="13" xfId="0" applyFill="1" applyBorder="1" applyAlignment="1">
      <alignment horizontal="center" vertical="center"/>
    </xf>
    <xf numFmtId="164" fontId="0" fillId="2" borderId="14" xfId="0" applyFill="1" applyBorder="1" applyAlignment="1">
      <alignment horizontal="center" vertical="center"/>
    </xf>
    <xf numFmtId="164" fontId="1" fillId="2" borderId="1" xfId="0" applyFont="1" applyFill="1" applyBorder="1" applyAlignment="1">
      <alignment horizontal="center"/>
    </xf>
    <xf numFmtId="164" fontId="1" fillId="2" borderId="3" xfId="0" applyFont="1" applyFill="1" applyBorder="1" applyAlignment="1">
      <alignment horizontal="center"/>
    </xf>
    <xf numFmtId="164" fontId="0" fillId="7" borderId="12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64" fontId="0" fillId="7" borderId="1" xfId="0" applyFill="1" applyBorder="1" applyAlignment="1">
      <alignment horizontal="right"/>
    </xf>
    <xf numFmtId="164" fontId="0" fillId="7" borderId="3" xfId="0" applyFill="1" applyBorder="1" applyAlignment="1">
      <alignment horizontal="right"/>
    </xf>
    <xf numFmtId="164" fontId="1" fillId="0" borderId="1" xfId="0" applyFont="1" applyBorder="1" applyAlignment="1">
      <alignment horizontal="right"/>
    </xf>
    <xf numFmtId="164" fontId="1" fillId="0" borderId="3" xfId="0" applyFont="1" applyBorder="1" applyAlignment="1">
      <alignment horizontal="right"/>
    </xf>
    <xf numFmtId="164" fontId="19" fillId="3" borderId="12" xfId="0" applyFont="1" applyFill="1" applyBorder="1" applyAlignment="1">
      <alignment horizontal="center" vertical="center"/>
    </xf>
    <xf numFmtId="164" fontId="19" fillId="3" borderId="1" xfId="0" applyFont="1" applyFill="1" applyBorder="1" applyAlignment="1">
      <alignment horizontal="center" vertical="center"/>
    </xf>
    <xf numFmtId="164" fontId="19" fillId="3" borderId="2" xfId="0" applyFont="1" applyFill="1" applyBorder="1" applyAlignment="1">
      <alignment horizontal="center" vertical="center"/>
    </xf>
    <xf numFmtId="164" fontId="19" fillId="3" borderId="3" xfId="0" applyFont="1" applyFill="1" applyBorder="1" applyAlignment="1">
      <alignment horizontal="center" vertical="center"/>
    </xf>
    <xf numFmtId="0" fontId="0" fillId="2" borderId="1" xfId="0" applyNumberFormat="1" applyFill="1" applyBorder="1" applyAlignment="1">
      <alignment horizontal="left"/>
    </xf>
    <xf numFmtId="0" fontId="0" fillId="2" borderId="3" xfId="0" applyNumberFormat="1" applyFill="1" applyBorder="1" applyAlignment="1">
      <alignment horizontal="left"/>
    </xf>
    <xf numFmtId="164" fontId="1" fillId="2" borderId="1" xfId="0" applyFont="1" applyFill="1" applyBorder="1" applyAlignment="1">
      <alignment horizontal="center" vertical="center"/>
    </xf>
    <xf numFmtId="164" fontId="1" fillId="2" borderId="2" xfId="0" applyFont="1" applyFill="1" applyBorder="1" applyAlignment="1">
      <alignment horizontal="center" vertical="center"/>
    </xf>
    <xf numFmtId="164" fontId="1" fillId="2" borderId="3" xfId="0" applyFont="1" applyFill="1" applyBorder="1" applyAlignment="1">
      <alignment horizontal="center" vertical="center"/>
    </xf>
    <xf numFmtId="164" fontId="0" fillId="0" borderId="1" xfId="0" applyBorder="1" applyAlignment="1"/>
    <xf numFmtId="164" fontId="0" fillId="0" borderId="2" xfId="0" applyBorder="1" applyAlignment="1"/>
    <xf numFmtId="164" fontId="0" fillId="0" borderId="3" xfId="0" applyBorder="1" applyAlignment="1"/>
    <xf numFmtId="0" fontId="10" fillId="2" borderId="12" xfId="0" applyNumberFormat="1" applyFont="1" applyFill="1" applyBorder="1" applyAlignment="1">
      <alignment horizontal="left"/>
    </xf>
    <xf numFmtId="0" fontId="0" fillId="2" borderId="12" xfId="0" applyNumberFormat="1" applyFill="1" applyBorder="1" applyAlignment="1">
      <alignment horizontal="left"/>
    </xf>
    <xf numFmtId="164" fontId="1" fillId="10" borderId="11" xfId="0" applyFont="1" applyFill="1" applyBorder="1" applyAlignment="1">
      <alignment horizontal="center"/>
    </xf>
    <xf numFmtId="164" fontId="1" fillId="10" borderId="6" xfId="0" applyFont="1" applyFill="1" applyBorder="1" applyAlignment="1">
      <alignment horizontal="center"/>
    </xf>
    <xf numFmtId="164" fontId="12" fillId="0" borderId="7" xfId="0" applyFont="1" applyFill="1" applyBorder="1" applyAlignment="1">
      <alignment horizontal="center" vertical="center"/>
    </xf>
    <xf numFmtId="164" fontId="11" fillId="0" borderId="7" xfId="0" applyFont="1" applyFill="1" applyBorder="1" applyAlignment="1">
      <alignment horizontal="center" vertical="center"/>
    </xf>
    <xf numFmtId="164" fontId="0" fillId="0" borderId="7" xfId="0" applyFill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92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B050"/>
      </font>
      <fill>
        <patternFill>
          <bgColor theme="6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numFmt numFmtId="164" formatCode="_ [$kr.-406]\ * #,##0.00_ ;_ [$kr.-406]\ * \-#,##0.00_ ;_ [$kr.-406]\ * &quot;-&quot;??_ ;_ @_ "/>
    </dxf>
    <dxf>
      <numFmt numFmtId="164" formatCode="_ [$kr.-406]\ * #,##0.00_ ;_ [$kr.-406]\ * \-#,##0.00_ ;_ [$kr.-406]\ * &quot;-&quot;??_ ;_ @_ "/>
    </dxf>
    <dxf>
      <numFmt numFmtId="1" formatCode="0"/>
      <alignment horizontal="center" vertical="bottom" textRotation="0" wrapText="1" indent="0" justifyLastLine="0" shrinkToFit="0" readingOrder="0"/>
    </dxf>
    <dxf>
      <alignment horizontal="general" textRotation="0" wrapText="1" indent="0" justifyLastLine="0" shrinkToFit="0" readingOrder="0"/>
    </dxf>
    <dxf>
      <numFmt numFmtId="164" formatCode="_ [$kr.-406]\ * #,##0.00_ ;_ [$kr.-406]\ * \-#,##0.00_ ;_ [$kr.-406]\ * &quot;-&quot;??_ ;_ @_ "/>
    </dxf>
    <dxf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_ [$kr.-406]\ * #,##0.00_ ;_ [$kr.-406]\ * \-#,##0.00_ ;_ [$kr.-406]\ * &quot;-&quot;??_ ;_ @_ "/>
    </dxf>
    <dxf>
      <numFmt numFmtId="1" formatCode="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4" formatCode="_ [$kr.-406]\ * #,##0.00_ ;_ [$kr.-406]\ * \-#,##0.00_ ;_ [$kr.-406]\ * &quot;-&quot;??_ ;_ @_ "/>
    </dxf>
    <dxf>
      <alignment horizontal="general" vertical="bottom" textRotation="0" wrapText="0" indent="0" justifyLastLine="0" shrinkToFit="0" readingOrder="0"/>
    </dxf>
    <dxf>
      <numFmt numFmtId="164" formatCode="_ [$kr.-406]\ * #,##0.00_ ;_ [$kr.-406]\ * \-#,##0.00_ ;_ [$kr.-406]\ * &quot;-&quot;??_ ;_ @_ "/>
      <alignment horizontal="general" vertical="bottom" textRotation="0" wrapText="0" indent="0" justifyLastLine="0" shrinkToFit="0" readingOrder="0"/>
    </dxf>
    <dxf>
      <numFmt numFmtId="19" formatCode="dd/mm/yyyy"/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alignment horizontal="general" vertical="bottom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Bagberedelse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gberedelse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Henriette" refreshedDate="41875.718559259258" createdVersion="4" refreshedVersion="4" minRefreshableVersion="3" recordCount="53">
  <cacheSource type="worksheet">
    <worksheetSource ref="A3:G56" sheet="PreRustur"/>
  </cacheSource>
  <cacheFields count="7">
    <cacheField name="Indkøb" numFmtId="164">
      <sharedItems/>
    </cacheField>
    <cacheField name="Anledning" numFmtId="164">
      <sharedItems/>
    </cacheField>
    <cacheField name="Beskrivelse" numFmtId="164">
      <sharedItems count="5">
        <s v="Møde"/>
        <s v="Forberedelsestur"/>
        <s v="Forberedelsestur offentlig"/>
        <s v="Alkohol til møde"/>
        <s v="Alkohol forberedelsestur"/>
      </sharedItems>
    </cacheField>
    <cacheField name="Dato" numFmtId="14">
      <sharedItems containsDate="1" containsMixedTypes="1" minDate="2014-03-04T00:00:00" maxDate="2014-08-21T00:00:00" count="22">
        <d v="2014-05-12T00:00:00"/>
        <d v="2014-04-08T00:00:00"/>
        <d v="2014-08-13T00:00:00"/>
        <d v="2014-07-27T00:00:00"/>
        <d v="2014-08-11T00:00:00"/>
        <d v="2014-08-14T00:00:00"/>
        <d v="2014-08-17T00:00:00"/>
        <d v="2014-07-26T00:00:00"/>
        <d v="2014-03-22T00:00:00"/>
        <d v="2014-04-09T00:00:00"/>
        <d v="2014-08-12T00:00:00"/>
        <d v="2014-03-04T00:00:00"/>
        <d v="2014-08-07T00:00:00"/>
        <d v="2014-04-28T00:00:00"/>
        <s v="-"/>
        <d v="2014-08-20T00:00:00"/>
        <d v="2014-04-30T00:00:00"/>
        <d v="2014-04-07T00:00:00"/>
        <d v="2014-08-16T00:00:00"/>
        <d v="2014-08-15T00:00:00"/>
        <d v="2014-03-28T00:00:00"/>
        <d v="2014-03-27T00:00:00" u="1"/>
      </sharedItems>
    </cacheField>
    <cacheField name="Beløb" numFmtId="164">
      <sharedItems containsSemiMixedTypes="0" containsString="0" containsNumber="1" minValue="25.73" maxValue="6747.07" count="53">
        <n v="25.73"/>
        <n v="47.8"/>
        <n v="50"/>
        <n v="78.3"/>
        <n v="96.6"/>
        <n v="113.85"/>
        <n v="123"/>
        <n v="125"/>
        <n v="130"/>
        <n v="144"/>
        <n v="152.25"/>
        <n v="153"/>
        <n v="154"/>
        <n v="162"/>
        <n v="166.6"/>
        <n v="166.7"/>
        <n v="167.65"/>
        <n v="168.88"/>
        <n v="195"/>
        <n v="198"/>
        <n v="212"/>
        <n v="223.8"/>
        <n v="230.7"/>
        <n v="257.70999999999998"/>
        <n v="267.13"/>
        <n v="275"/>
        <n v="294.48"/>
        <n v="326.14999999999998"/>
        <n v="339"/>
        <n v="347.8"/>
        <n v="383"/>
        <n v="384.35"/>
        <n v="393.18"/>
        <n v="412.5"/>
        <n v="433.05"/>
        <n v="444.70999999999987"/>
        <n v="517.54999999999995"/>
        <n v="575.58000000000004"/>
        <n v="591.4799999999999"/>
        <n v="663.07"/>
        <n v="680"/>
        <n v="698.07"/>
        <n v="735"/>
        <n v="745.68"/>
        <n v="973.05"/>
        <n v="981.34"/>
        <n v="990"/>
        <n v="1036.5999999999999"/>
        <n v="1154.5"/>
        <n v="1274.3999999999999"/>
        <n v="1357.91"/>
        <n v="2677.88" u="1"/>
        <n v="6747.07" u="1"/>
      </sharedItems>
    </cacheField>
    <cacheField name="Udlagt af" numFmtId="164">
      <sharedItems count="19">
        <s v="Henrik"/>
        <s v="Michel"/>
        <s v="Bodilsen"/>
        <s v="Vinther"/>
        <s v="Frederik"/>
        <s v="Henriette"/>
        <s v="Frederikke"/>
        <s v="Cirkeline"/>
        <s v="Pernille"/>
        <s v="Anders"/>
        <s v="Anna"/>
        <s v="Joachim"/>
        <s v="Ukendt"/>
        <s v="Camilla"/>
        <s v="Anne"/>
        <s v="Mick"/>
        <s v="Jakob"/>
        <s v="Mads"/>
        <s v="Emma" u="1"/>
      </sharedItems>
    </cacheField>
    <cacheField name="Deltagere" numFmtId="164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3">
  <r>
    <s v="Mozzarella + rapsolie (2 kvitt.)"/>
    <s v="Møde"/>
    <x v="0"/>
    <x v="0"/>
    <x v="0"/>
    <x v="0"/>
    <s v="Minus Anna, Emil, Vinther, Anders, Brit, Inge Lise, Kathrine,  Frederik"/>
  </r>
  <r>
    <s v="Øl flæskesvær + sodavand"/>
    <s v="Vi-syr-ølpatron-hylster-aften"/>
    <x v="0"/>
    <x v="1"/>
    <x v="1"/>
    <x v="1"/>
    <s v="Mick, Michel, Anton, Anders, Henriette, Pernille"/>
  </r>
  <r>
    <s v="Pølsehorn ved færgen"/>
    <s v="Forberedelsestur"/>
    <x v="1"/>
    <x v="2"/>
    <x v="2"/>
    <x v="1"/>
    <s v="Alle"/>
  </r>
  <r>
    <s v="Øl og chips"/>
    <s v="Møde"/>
    <x v="0"/>
    <x v="3"/>
    <x v="3"/>
    <x v="2"/>
    <s v="Alle bortset fra Henrik"/>
  </r>
  <r>
    <s v="Skinke"/>
    <s v="Forberedelsestur"/>
    <x v="1"/>
    <x v="4"/>
    <x v="4"/>
    <x v="3"/>
    <s v="Alle"/>
  </r>
  <r>
    <s v="Mad"/>
    <s v="Forberedelsestur"/>
    <x v="1"/>
    <x v="5"/>
    <x v="5"/>
    <x v="4"/>
    <s v="Alle"/>
  </r>
  <r>
    <s v="Transport"/>
    <s v="Forberedelsestur"/>
    <x v="2"/>
    <x v="6"/>
    <x v="6"/>
    <x v="5"/>
    <s v="Alle"/>
  </r>
  <r>
    <s v="Transport"/>
    <s v="Frederikke - offentlig"/>
    <x v="2"/>
    <x v="2"/>
    <x v="7"/>
    <x v="6"/>
    <s v="Alle"/>
  </r>
  <r>
    <s v="Transport"/>
    <s v="Michel - offentlig"/>
    <x v="2"/>
    <x v="6"/>
    <x v="7"/>
    <x v="1"/>
    <s v="Alle"/>
  </r>
  <r>
    <s v="Transport"/>
    <s v="Cirkeline - offentlig"/>
    <x v="2"/>
    <x v="6"/>
    <x v="8"/>
    <x v="7"/>
    <s v="Alle"/>
  </r>
  <r>
    <s v="Transport"/>
    <s v="Bodilsen - offentlig"/>
    <x v="2"/>
    <x v="6"/>
    <x v="9"/>
    <x v="2"/>
    <s v="Alle"/>
  </r>
  <r>
    <s v="En Koala"/>
    <s v="Ebay til Klinteborg"/>
    <x v="0"/>
    <x v="7"/>
    <x v="10"/>
    <x v="8"/>
    <s v="Alle vektorer+KABS"/>
  </r>
  <r>
    <s v="Transport"/>
    <s v="Anders - offentlig"/>
    <x v="2"/>
    <x v="6"/>
    <x v="11"/>
    <x v="9"/>
    <s v="Alle"/>
  </r>
  <r>
    <s v="Transport"/>
    <s v="Anna - offentlig"/>
    <x v="2"/>
    <x v="6"/>
    <x v="12"/>
    <x v="10"/>
    <s v="Alle"/>
  </r>
  <r>
    <s v="Transport"/>
    <s v="Joachim - offentlig"/>
    <x v="2"/>
    <x v="6"/>
    <x v="13"/>
    <x v="11"/>
    <s v="Alle"/>
  </r>
  <r>
    <s v="Snacks + øl"/>
    <s v="Terminator-aften"/>
    <x v="0"/>
    <x v="8"/>
    <x v="14"/>
    <x v="9"/>
    <s v="Joachim, Mick, Anders, Frederikke, Henriette"/>
  </r>
  <r>
    <s v="Øffer, cola + øl"/>
    <s v="Sydag"/>
    <x v="0"/>
    <x v="9"/>
    <x v="15"/>
    <x v="1"/>
    <s v="Mick, Michel, Anton, Anders, Henriette, Pernille"/>
  </r>
  <r>
    <s v="Transport"/>
    <s v="Henrik - offentlig"/>
    <x v="2"/>
    <x v="4"/>
    <x v="16"/>
    <x v="0"/>
    <s v="Alle"/>
  </r>
  <r>
    <s v="Morgenmad"/>
    <s v="Forberedelsestur"/>
    <x v="1"/>
    <x v="10"/>
    <x v="17"/>
    <x v="12"/>
    <s v="Alle"/>
  </r>
  <r>
    <s v="Transport"/>
    <s v="Vinther - offentlig"/>
    <x v="2"/>
    <x v="6"/>
    <x v="18"/>
    <x v="3"/>
    <s v="Alle"/>
  </r>
  <r>
    <s v="Transport"/>
    <s v="Anne - offentlig"/>
    <x v="2"/>
    <x v="4"/>
    <x v="19"/>
    <x v="1"/>
    <s v="Alle"/>
  </r>
  <r>
    <s v="Transport"/>
    <s v="Bodilsen - offentlig"/>
    <x v="2"/>
    <x v="4"/>
    <x v="19"/>
    <x v="13"/>
    <s v="Alle"/>
  </r>
  <r>
    <s v="Transport"/>
    <s v="Camilla - offentlig"/>
    <x v="2"/>
    <x v="4"/>
    <x v="20"/>
    <x v="14"/>
    <s v="Alle"/>
  </r>
  <r>
    <s v="Øl"/>
    <s v="Alkohol til møde"/>
    <x v="3"/>
    <x v="11"/>
    <x v="21"/>
    <x v="15"/>
    <s v="Alle bortset fra Henrik og Michel + HB"/>
  </r>
  <r>
    <s v="Transport"/>
    <s v="Pernille - offentlig"/>
    <x v="2"/>
    <x v="4"/>
    <x v="22"/>
    <x v="8"/>
    <s v="Alle"/>
  </r>
  <r>
    <s v="Pulled pork"/>
    <s v="Aftensmad"/>
    <x v="1"/>
    <x v="5"/>
    <x v="23"/>
    <x v="3"/>
    <s v="Alle"/>
  </r>
  <r>
    <s v="Carbonara"/>
    <s v="Pre-forberedelsestur-arbejde"/>
    <x v="0"/>
    <x v="12"/>
    <x v="24"/>
    <x v="15"/>
    <s v="Henriette, Mick, Frederik, Anton, Mads, Anne, Henrik, Emma, Joachim"/>
  </r>
  <r>
    <s v="Mad til grill"/>
    <s v="Møde"/>
    <x v="0"/>
    <x v="13"/>
    <x v="25"/>
    <x v="2"/>
    <s v="Minus Anton, Vinther, Anne"/>
  </r>
  <r>
    <s v="Guldøl"/>
    <s v="Møde"/>
    <x v="0"/>
    <x v="11"/>
    <x v="26"/>
    <x v="16"/>
    <s v="Minus Henrik, Michel, HB"/>
  </r>
  <r>
    <s v="Lasagne"/>
    <s v="Møde"/>
    <x v="0"/>
    <x v="0"/>
    <x v="27"/>
    <x v="5"/>
    <s v="Minus Anna, Emil, Vinther, Anders, Brit, Inge Lise, Kathrine,  Frederik"/>
  </r>
  <r>
    <s v="Transport"/>
    <s v="Færgebillet"/>
    <x v="4"/>
    <x v="4"/>
    <x v="28"/>
    <x v="17"/>
    <s v="Alle"/>
  </r>
  <r>
    <s v="Mad"/>
    <s v="Møde"/>
    <x v="0"/>
    <x v="3"/>
    <x v="29"/>
    <x v="2"/>
    <s v="Alle"/>
  </r>
  <r>
    <s v="Udstyr til OPturskostume"/>
    <s v="Møde"/>
    <x v="0"/>
    <x v="14"/>
    <x v="30"/>
    <x v="9"/>
    <s v="Alle"/>
  </r>
  <r>
    <s v="Æg, bacon, pølser..."/>
    <s v="Morgenmad"/>
    <x v="1"/>
    <x v="2"/>
    <x v="31"/>
    <x v="3"/>
    <s v="Alle"/>
  </r>
  <r>
    <s v="Benzin"/>
    <s v="Mads - optankning"/>
    <x v="1"/>
    <x v="14"/>
    <x v="32"/>
    <x v="17"/>
    <s v="Alle"/>
  </r>
  <r>
    <s v="Mad"/>
    <s v="På vej til hytten"/>
    <x v="1"/>
    <x v="15"/>
    <x v="33"/>
    <x v="17"/>
    <s v="Mads, Bodilsen, Mick, Emma, Pernille, Frederikke, Anne, Anders"/>
  </r>
  <r>
    <s v="Mad/tortillas"/>
    <s v="Møde"/>
    <x v="0"/>
    <x v="16"/>
    <x v="34"/>
    <x v="2"/>
    <s v="Alle"/>
  </r>
  <r>
    <s v="Madindkøb"/>
    <s v="Møde"/>
    <x v="0"/>
    <x v="17"/>
    <x v="35"/>
    <x v="16"/>
    <s v="Alle bortset fra Anne og Pernille"/>
  </r>
  <r>
    <s v="Snacks"/>
    <s v="Forberedelsestur"/>
    <x v="1"/>
    <x v="18"/>
    <x v="36"/>
    <x v="14"/>
    <s v="Alle"/>
  </r>
  <r>
    <s v="Diverse udlæg"/>
    <s v="Møder (3 kvitteringer)"/>
    <x v="0"/>
    <x v="14"/>
    <x v="37"/>
    <x v="4"/>
    <s v="Alle"/>
  </r>
  <r>
    <s v="Aftensmad + morgenmad - Høve"/>
    <s v="Forberedelsestur"/>
    <x v="1"/>
    <x v="19"/>
    <x v="38"/>
    <x v="3"/>
    <s v="Alle"/>
  </r>
  <r>
    <s v="Burgere"/>
    <s v="Møde"/>
    <x v="0"/>
    <x v="11"/>
    <x v="39"/>
    <x v="15"/>
    <s v="Alle bortset fra Michel og HB"/>
  </r>
  <r>
    <s v="Færgebillet"/>
    <s v="Færgebillet"/>
    <x v="4"/>
    <x v="14"/>
    <x v="40"/>
    <x v="4"/>
    <s v="Alle - Henrik"/>
  </r>
  <r>
    <s v="Benzin"/>
    <s v="Frederik - optankning"/>
    <x v="1"/>
    <x v="14"/>
    <x v="41"/>
    <x v="4"/>
    <s v="Alle"/>
  </r>
  <r>
    <s v="Lygter, solbriller, udstyr"/>
    <s v="Til Opturs-kostume (5 kvitt.)"/>
    <x v="0"/>
    <x v="14"/>
    <x v="42"/>
    <x v="0"/>
    <s v="Alle vektorer+KABS"/>
  </r>
  <r>
    <s v="Madindkøb"/>
    <s v="Møde"/>
    <x v="0"/>
    <x v="0"/>
    <x v="43"/>
    <x v="16"/>
    <s v="Minus Anna, Emil, Vinther, Anders, Brit, Inge Lise, Kathrine,  Frederik"/>
  </r>
  <r>
    <s v="Mad morgen + aften"/>
    <s v="Forberedelsestur"/>
    <x v="1"/>
    <x v="10"/>
    <x v="44"/>
    <x v="12"/>
    <s v="Alle"/>
  </r>
  <r>
    <s v="Skinkestang"/>
    <s v="Møde (4 kvitt.)"/>
    <x v="0"/>
    <x v="14"/>
    <x v="45"/>
    <x v="0"/>
    <s v="Alle vektorer+KABS"/>
  </r>
  <r>
    <s v="Cruz"/>
    <s v="Indkøb til Optur"/>
    <x v="3"/>
    <x v="9"/>
    <x v="46"/>
    <x v="1"/>
    <s v="Alle bortset fra Henrik og Hyttebumser"/>
  </r>
  <r>
    <s v="Morgen + aftensmad"/>
    <s v="Forberedelsestur"/>
    <x v="1"/>
    <x v="4"/>
    <x v="47"/>
    <x v="3"/>
    <s v="Alle"/>
  </r>
  <r>
    <s v="Patronhylster"/>
    <s v="Udstyr til Opturskostume"/>
    <x v="0"/>
    <x v="20"/>
    <x v="48"/>
    <x v="9"/>
    <s v="Alle"/>
  </r>
  <r>
    <s v="Slik og sodavand over grænsen"/>
    <s v="Forberedelsestur"/>
    <x v="1"/>
    <x v="2"/>
    <x v="49"/>
    <x v="1"/>
    <s v="Alle"/>
  </r>
  <r>
    <s v="Morgen + aftensmad"/>
    <s v="Forberedelsestur"/>
    <x v="1"/>
    <x v="5"/>
    <x v="50"/>
    <x v="3"/>
    <s v="All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5:C27" firstHeaderRow="1" firstDataRow="2" firstDataCol="1" rowPageCount="2" colPageCount="1"/>
  <pivotFields count="7">
    <pivotField subtotalTop="0" showAll="0"/>
    <pivotField subtotalTop="0" showAll="0"/>
    <pivotField axis="axisCol" subtotalTop="0" showAll="0">
      <items count="6">
        <item h="1" sd="0" x="3"/>
        <item h="1" sd="0" x="1"/>
        <item sd="0" x="0"/>
        <item h="1" x="4"/>
        <item h="1" x="2"/>
        <item t="default"/>
      </items>
    </pivotField>
    <pivotField axis="axisPage" subtotalTop="0" showAll="0">
      <items count="23">
        <item x="14"/>
        <item x="11"/>
        <item x="8"/>
        <item m="1" x="21"/>
        <item x="17"/>
        <item x="1"/>
        <item x="9"/>
        <item x="13"/>
        <item x="16"/>
        <item x="0"/>
        <item x="7"/>
        <item x="3"/>
        <item x="12"/>
        <item x="4"/>
        <item x="10"/>
        <item x="2"/>
        <item x="5"/>
        <item x="19"/>
        <item x="18"/>
        <item x="15"/>
        <item x="6"/>
        <item x="20"/>
        <item t="default"/>
      </items>
    </pivotField>
    <pivotField axis="axisRow" subtotalTop="0" showAll="0">
      <items count="54">
        <item x="0"/>
        <item x="1"/>
        <item x="2"/>
        <item x="3"/>
        <item x="4"/>
        <item x="7"/>
        <item x="9"/>
        <item x="10"/>
        <item x="14"/>
        <item x="15"/>
        <item x="17"/>
        <item x="21"/>
        <item x="23"/>
        <item x="24"/>
        <item x="25"/>
        <item x="26"/>
        <item x="27"/>
        <item x="29"/>
        <item x="31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9"/>
        <item x="50"/>
        <item m="1" x="51"/>
        <item m="1" x="52"/>
        <item x="22"/>
        <item x="28"/>
        <item x="20"/>
        <item x="19"/>
        <item x="16"/>
        <item x="33"/>
        <item x="32"/>
        <item x="30"/>
        <item x="11"/>
        <item x="5"/>
        <item x="6"/>
        <item x="8"/>
        <item x="12"/>
        <item x="13"/>
        <item x="18"/>
        <item x="48"/>
        <item t="default"/>
      </items>
    </pivotField>
    <pivotField axis="axisPage" subtotalTop="0" multipleItemSelectionAllowed="1" showAll="0">
      <items count="20">
        <item x="9"/>
        <item x="14"/>
        <item x="2"/>
        <item m="1" x="18"/>
        <item x="4"/>
        <item x="6"/>
        <item x="5"/>
        <item x="0"/>
        <item x="16"/>
        <item x="1"/>
        <item x="15"/>
        <item x="8"/>
        <item x="12"/>
        <item x="3"/>
        <item x="17"/>
        <item x="13"/>
        <item x="7"/>
        <item x="10"/>
        <item x="11"/>
        <item t="default"/>
      </items>
    </pivotField>
    <pivotField subtotalTop="0" showAll="0"/>
  </pivotFields>
  <rowFields count="1">
    <field x="4"/>
  </rowFields>
  <rowItems count="21">
    <i>
      <x/>
    </i>
    <i>
      <x v="1"/>
    </i>
    <i>
      <x v="3"/>
    </i>
    <i>
      <x v="7"/>
    </i>
    <i>
      <x v="8"/>
    </i>
    <i>
      <x v="9"/>
    </i>
    <i>
      <x v="13"/>
    </i>
    <i>
      <x v="14"/>
    </i>
    <i>
      <x v="15"/>
    </i>
    <i>
      <x v="16"/>
    </i>
    <i>
      <x v="17"/>
    </i>
    <i>
      <x v="19"/>
    </i>
    <i>
      <x v="20"/>
    </i>
    <i>
      <x v="22"/>
    </i>
    <i>
      <x v="24"/>
    </i>
    <i>
      <x v="27"/>
    </i>
    <i>
      <x v="28"/>
    </i>
    <i>
      <x v="30"/>
    </i>
    <i>
      <x v="44"/>
    </i>
    <i>
      <x v="52"/>
    </i>
    <i t="grand">
      <x/>
    </i>
  </rowItems>
  <colFields count="1">
    <field x="2"/>
  </colFields>
  <colItems count="2">
    <i>
      <x v="2"/>
    </i>
    <i t="grand">
      <x/>
    </i>
  </colItems>
  <pageFields count="2">
    <pageField fld="3" hier="-1"/>
    <pageField fld="5" hier="-1"/>
  </page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4" name="Table4" displayName="Table4" ref="A3:I60" totalsRowShown="0" headerRowDxfId="191" tableBorderDxfId="190">
  <autoFilter ref="A3:I60"/>
  <tableColumns count="9">
    <tableColumn id="1" name="Indkøb" dataDxfId="189"/>
    <tableColumn id="2" name="Anledning" dataDxfId="188"/>
    <tableColumn id="3" name="Beskrivelse" dataDxfId="187"/>
    <tableColumn id="4" name="Dato" dataDxfId="186"/>
    <tableColumn id="5" name="Beløb" dataDxfId="185"/>
    <tableColumn id="6" name="Udlagt af" dataDxfId="184"/>
    <tableColumn id="7" name="Deltagere" dataDxfId="183"/>
    <tableColumn id="8" name="Antal" dataDxfId="182">
      <calculatedColumnFormula>22-4</calculatedColumnFormula>
    </tableColumn>
    <tableColumn id="9" name="Beløb/deltager" dataDxfId="181">
      <calculatedColumnFormula>E4/H4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1" displayName="Table1" ref="A3:J61" totalsRowShown="0" headerRowDxfId="180" tableBorderDxfId="179">
  <autoFilter ref="A3:J61"/>
  <sortState ref="A4:J61">
    <sortCondition ref="D3:D61"/>
  </sortState>
  <tableColumns count="10">
    <tableColumn id="1" name="Indkøb"/>
    <tableColumn id="6" name="Anledning"/>
    <tableColumn id="7" name="Beskrivelse" dataDxfId="178"/>
    <tableColumn id="2" name="Dato"/>
    <tableColumn id="3" name="Beløb" dataDxfId="177"/>
    <tableColumn id="5" name="Udlagt af"/>
    <tableColumn id="4" name="Deltagere" dataDxfId="176"/>
    <tableColumn id="8" name="Antal" dataDxfId="175">
      <calculatedColumnFormula>IF(Deltagere!A$32=G4,22,0)</calculatedColumnFormula>
    </tableColumn>
    <tableColumn id="9" name="Beløb pr. Deltager" dataDxfId="174">
      <calculatedColumnFormula>E4/H4</calculatedColumnFormula>
    </tableColumn>
    <tableColumn id="10" name="Værditjek" dataDxfId="173">
      <calculatedColumnFormula>H4*I4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tel:29%2044%2029%2034" TargetMode="External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C27"/>
  <sheetViews>
    <sheetView workbookViewId="0">
      <selection activeCell="A8" sqref="A8"/>
    </sheetView>
  </sheetViews>
  <sheetFormatPr defaultRowHeight="15" x14ac:dyDescent="0.25"/>
  <cols>
    <col min="1" max="1" width="14" customWidth="1"/>
    <col min="2" max="2" width="17.140625" customWidth="1"/>
    <col min="3" max="3" width="12.140625" customWidth="1"/>
    <col min="4" max="4" width="7.140625" customWidth="1"/>
    <col min="5" max="5" width="24.5703125" customWidth="1"/>
    <col min="6" max="6" width="12.140625" customWidth="1"/>
    <col min="7" max="7" width="8" customWidth="1"/>
    <col min="8" max="8" width="29.7109375" customWidth="1"/>
    <col min="9" max="9" width="12.140625" customWidth="1"/>
    <col min="10" max="10" width="10.28515625" customWidth="1"/>
    <col min="11" max="11" width="17.42578125" customWidth="1"/>
    <col min="12" max="12" width="9.7109375" customWidth="1"/>
    <col min="13" max="13" width="17.42578125" customWidth="1"/>
    <col min="14" max="14" width="9.7109375" customWidth="1"/>
    <col min="15" max="15" width="10.140625" customWidth="1"/>
    <col min="16" max="16" width="12.28515625" customWidth="1"/>
    <col min="17" max="17" width="10.140625" customWidth="1"/>
    <col min="18" max="18" width="11.28515625" customWidth="1"/>
    <col min="19" max="19" width="10.140625" customWidth="1"/>
    <col min="20" max="20" width="11.28515625" customWidth="1"/>
    <col min="21" max="21" width="17.42578125" customWidth="1"/>
    <col min="22" max="22" width="12.28515625" customWidth="1"/>
    <col min="23" max="23" width="16.7109375" customWidth="1"/>
    <col min="24" max="24" width="11.28515625" customWidth="1"/>
    <col min="25" max="25" width="17.42578125" customWidth="1"/>
    <col min="26" max="26" width="12.28515625" customWidth="1"/>
    <col min="27" max="27" width="10.140625" customWidth="1"/>
    <col min="28" max="28" width="12.28515625" customWidth="1"/>
    <col min="29" max="29" width="10.140625" customWidth="1"/>
    <col min="30" max="30" width="9.7109375" customWidth="1"/>
    <col min="31" max="31" width="10.140625" customWidth="1"/>
    <col min="32" max="32" width="12.28515625" customWidth="1"/>
    <col min="33" max="33" width="10.140625" customWidth="1"/>
    <col min="34" max="34" width="12.28515625" customWidth="1"/>
    <col min="35" max="35" width="10.140625" customWidth="1"/>
    <col min="36" max="36" width="11.28515625" customWidth="1"/>
    <col min="37" max="37" width="17.42578125" customWidth="1"/>
    <col min="38" max="38" width="12.28515625" customWidth="1"/>
    <col min="39" max="39" width="10.140625" customWidth="1"/>
    <col min="40" max="40" width="12.28515625" customWidth="1"/>
    <col min="41" max="41" width="10.140625" customWidth="1"/>
    <col min="42" max="42" width="12.28515625" customWidth="1"/>
    <col min="43" max="43" width="17.42578125" customWidth="1"/>
    <col min="44" max="44" width="12.28515625" customWidth="1"/>
    <col min="45" max="45" width="10.140625" customWidth="1"/>
    <col min="46" max="46" width="12.28515625" customWidth="1"/>
    <col min="47" max="47" width="17.42578125" customWidth="1"/>
    <col min="48" max="48" width="12.28515625" customWidth="1"/>
    <col min="49" max="49" width="10.140625" customWidth="1"/>
    <col min="50" max="50" width="12.28515625" bestFit="1" customWidth="1"/>
    <col min="51" max="51" width="24.5703125" bestFit="1" customWidth="1"/>
    <col min="52" max="52" width="9.7109375" customWidth="1"/>
    <col min="53" max="53" width="17.42578125" bestFit="1" customWidth="1"/>
    <col min="54" max="54" width="12.28515625" bestFit="1" customWidth="1"/>
    <col min="55" max="55" width="10.140625" bestFit="1" customWidth="1"/>
    <col min="56" max="56" width="9.7109375" bestFit="1" customWidth="1"/>
    <col min="57" max="57" width="10.140625" bestFit="1" customWidth="1"/>
    <col min="58" max="58" width="12.28515625" bestFit="1" customWidth="1"/>
    <col min="59" max="59" width="17.42578125" bestFit="1" customWidth="1"/>
    <col min="60" max="60" width="12.28515625" bestFit="1" customWidth="1"/>
    <col min="61" max="61" width="10.140625" bestFit="1" customWidth="1"/>
    <col min="62" max="62" width="12.28515625" bestFit="1" customWidth="1"/>
    <col min="63" max="63" width="16.7109375" bestFit="1" customWidth="1"/>
    <col min="64" max="64" width="9.7109375" bestFit="1" customWidth="1"/>
    <col min="65" max="65" width="17.42578125" bestFit="1" customWidth="1"/>
    <col min="66" max="66" width="12.28515625" bestFit="1" customWidth="1"/>
    <col min="67" max="67" width="17.42578125" bestFit="1" customWidth="1"/>
    <col min="68" max="68" width="12.28515625" bestFit="1" customWidth="1"/>
    <col min="69" max="69" width="17.42578125" bestFit="1" customWidth="1"/>
    <col min="70" max="70" width="13.42578125" bestFit="1" customWidth="1"/>
    <col min="71" max="71" width="24.5703125" bestFit="1" customWidth="1"/>
    <col min="72" max="72" width="13.42578125" bestFit="1" customWidth="1"/>
    <col min="73" max="73" width="24.5703125" bestFit="1" customWidth="1"/>
    <col min="74" max="74" width="13.42578125" bestFit="1" customWidth="1"/>
    <col min="75" max="75" width="9.7109375" bestFit="1" customWidth="1"/>
    <col min="76" max="76" width="12.7109375" bestFit="1" customWidth="1"/>
    <col min="77" max="77" width="17.42578125" bestFit="1" customWidth="1"/>
    <col min="78" max="78" width="11.28515625" bestFit="1" customWidth="1"/>
    <col min="79" max="79" width="17.42578125" bestFit="1" customWidth="1"/>
    <col min="80" max="80" width="9.7109375" bestFit="1" customWidth="1"/>
    <col min="81" max="81" width="17.42578125" bestFit="1" customWidth="1"/>
    <col min="82" max="82" width="9.7109375" bestFit="1" customWidth="1"/>
    <col min="83" max="83" width="17.42578125" bestFit="1" customWidth="1"/>
    <col min="84" max="84" width="9.7109375" bestFit="1" customWidth="1"/>
    <col min="85" max="85" width="17.42578125" bestFit="1" customWidth="1"/>
    <col min="86" max="86" width="12.28515625" bestFit="1" customWidth="1"/>
    <col min="87" max="87" width="17.42578125" bestFit="1" customWidth="1"/>
    <col min="88" max="88" width="11.28515625" bestFit="1" customWidth="1"/>
    <col min="89" max="89" width="17.42578125" bestFit="1" customWidth="1"/>
    <col min="90" max="90" width="12.28515625" bestFit="1" customWidth="1"/>
    <col min="91" max="91" width="10.140625" bestFit="1" customWidth="1"/>
    <col min="92" max="92" width="9.7109375" bestFit="1" customWidth="1"/>
    <col min="93" max="93" width="17.42578125" bestFit="1" customWidth="1"/>
    <col min="94" max="94" width="9.7109375" bestFit="1" customWidth="1"/>
    <col min="95" max="95" width="12.140625" bestFit="1" customWidth="1"/>
  </cols>
  <sheetData>
    <row r="2" spans="1:3" x14ac:dyDescent="0.25">
      <c r="A2" s="20" t="s">
        <v>24</v>
      </c>
      <c r="B2" s="1" t="s">
        <v>53</v>
      </c>
    </row>
    <row r="3" spans="1:3" x14ac:dyDescent="0.25">
      <c r="A3" s="20" t="s">
        <v>26</v>
      </c>
      <c r="B3" s="1" t="s">
        <v>53</v>
      </c>
    </row>
    <row r="5" spans="1:3" x14ac:dyDescent="0.25">
      <c r="B5" s="20" t="s">
        <v>52</v>
      </c>
    </row>
    <row r="6" spans="1:3" x14ac:dyDescent="0.25">
      <c r="A6" s="20" t="s">
        <v>49</v>
      </c>
      <c r="B6" s="1" t="s">
        <v>27</v>
      </c>
      <c r="C6" s="1" t="s">
        <v>50</v>
      </c>
    </row>
    <row r="7" spans="1:3" x14ac:dyDescent="0.25">
      <c r="A7" s="21">
        <v>25.73</v>
      </c>
    </row>
    <row r="8" spans="1:3" x14ac:dyDescent="0.25">
      <c r="A8" s="21">
        <v>47.8</v>
      </c>
    </row>
    <row r="9" spans="1:3" x14ac:dyDescent="0.25">
      <c r="A9" s="21">
        <v>78.3</v>
      </c>
    </row>
    <row r="10" spans="1:3" x14ac:dyDescent="0.25">
      <c r="A10" s="21">
        <v>152.25</v>
      </c>
    </row>
    <row r="11" spans="1:3" x14ac:dyDescent="0.25">
      <c r="A11" s="21">
        <v>166.6</v>
      </c>
    </row>
    <row r="12" spans="1:3" x14ac:dyDescent="0.25">
      <c r="A12" s="21">
        <v>166.7</v>
      </c>
    </row>
    <row r="13" spans="1:3" x14ac:dyDescent="0.25">
      <c r="A13" s="21">
        <v>267.13</v>
      </c>
    </row>
    <row r="14" spans="1:3" x14ac:dyDescent="0.25">
      <c r="A14" s="21">
        <v>275</v>
      </c>
    </row>
    <row r="15" spans="1:3" x14ac:dyDescent="0.25">
      <c r="A15" s="21">
        <v>294.48</v>
      </c>
    </row>
    <row r="16" spans="1:3" x14ac:dyDescent="0.25">
      <c r="A16" s="21">
        <v>326.14999999999998</v>
      </c>
    </row>
    <row r="17" spans="1:1" x14ac:dyDescent="0.25">
      <c r="A17" s="21">
        <v>347.8</v>
      </c>
    </row>
    <row r="18" spans="1:1" x14ac:dyDescent="0.25">
      <c r="A18" s="21">
        <v>433.05</v>
      </c>
    </row>
    <row r="19" spans="1:1" x14ac:dyDescent="0.25">
      <c r="A19" s="21">
        <v>444.70999999999987</v>
      </c>
    </row>
    <row r="20" spans="1:1" x14ac:dyDescent="0.25">
      <c r="A20" s="21">
        <v>575.58000000000004</v>
      </c>
    </row>
    <row r="21" spans="1:1" x14ac:dyDescent="0.25">
      <c r="A21" s="21">
        <v>663.07</v>
      </c>
    </row>
    <row r="22" spans="1:1" x14ac:dyDescent="0.25">
      <c r="A22" s="21">
        <v>735</v>
      </c>
    </row>
    <row r="23" spans="1:1" x14ac:dyDescent="0.25">
      <c r="A23" s="21">
        <v>745.68</v>
      </c>
    </row>
    <row r="24" spans="1:1" x14ac:dyDescent="0.25">
      <c r="A24" s="21">
        <v>981.34</v>
      </c>
    </row>
    <row r="25" spans="1:1" x14ac:dyDescent="0.25">
      <c r="A25" s="21">
        <v>383</v>
      </c>
    </row>
    <row r="26" spans="1:1" x14ac:dyDescent="0.25">
      <c r="A26" s="21">
        <v>1154.5</v>
      </c>
    </row>
    <row r="27" spans="1:1" x14ac:dyDescent="0.25">
      <c r="A27" s="21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theme="3" tint="0.79998168889431442"/>
  </sheetPr>
  <dimension ref="B1:G29"/>
  <sheetViews>
    <sheetView zoomScale="90" zoomScaleNormal="90" workbookViewId="0">
      <selection activeCell="H9" sqref="H9"/>
    </sheetView>
  </sheetViews>
  <sheetFormatPr defaultRowHeight="15" x14ac:dyDescent="0.25"/>
  <cols>
    <col min="2" max="2" width="32.28515625" customWidth="1"/>
    <col min="3" max="3" width="12.5703125" customWidth="1"/>
    <col min="4" max="4" width="19.140625" customWidth="1"/>
    <col min="5" max="5" width="14.140625" customWidth="1"/>
    <col min="7" max="7" width="24.7109375" customWidth="1"/>
  </cols>
  <sheetData>
    <row r="1" spans="2:7" ht="25.5" customHeight="1" x14ac:dyDescent="0.25">
      <c r="B1" s="155" t="s">
        <v>68</v>
      </c>
      <c r="C1" s="155"/>
      <c r="D1" s="155"/>
      <c r="E1" s="155"/>
      <c r="F1" s="155"/>
      <c r="G1" s="155"/>
    </row>
    <row r="2" spans="2:7" x14ac:dyDescent="0.25">
      <c r="B2" s="63"/>
      <c r="C2" s="64"/>
      <c r="D2" s="64"/>
      <c r="E2" s="64"/>
      <c r="F2" s="64"/>
      <c r="G2" s="65"/>
    </row>
    <row r="3" spans="2:7" x14ac:dyDescent="0.25">
      <c r="B3" s="66" t="s">
        <v>69</v>
      </c>
      <c r="C3" s="67"/>
      <c r="D3" s="67"/>
      <c r="E3" s="67"/>
      <c r="F3" s="67"/>
      <c r="G3" s="68"/>
    </row>
    <row r="4" spans="2:7" x14ac:dyDescent="0.25">
      <c r="B4" s="66" t="s">
        <v>70</v>
      </c>
      <c r="C4" s="67"/>
      <c r="D4" s="67"/>
      <c r="E4" s="67"/>
      <c r="F4" s="67"/>
      <c r="G4" s="68"/>
    </row>
    <row r="5" spans="2:7" x14ac:dyDescent="0.25">
      <c r="B5" s="66"/>
      <c r="C5" s="67"/>
      <c r="D5" s="67"/>
      <c r="E5" s="67"/>
      <c r="F5" s="67"/>
      <c r="G5" s="68"/>
    </row>
    <row r="6" spans="2:7" x14ac:dyDescent="0.25">
      <c r="B6" s="66" t="s">
        <v>83</v>
      </c>
      <c r="C6" s="67"/>
      <c r="D6" s="67"/>
      <c r="E6" s="67"/>
      <c r="F6" s="67"/>
      <c r="G6" s="68"/>
    </row>
    <row r="7" spans="2:7" s="1" customFormat="1" x14ac:dyDescent="0.25">
      <c r="B7" s="66" t="s">
        <v>88</v>
      </c>
      <c r="C7" s="67"/>
      <c r="D7" s="67"/>
      <c r="E7" s="67"/>
      <c r="F7" s="67"/>
      <c r="G7" s="68"/>
    </row>
    <row r="8" spans="2:7" s="1" customFormat="1" x14ac:dyDescent="0.25">
      <c r="B8" s="69" t="s">
        <v>77</v>
      </c>
      <c r="C8" s="67"/>
      <c r="D8" s="67"/>
      <c r="E8" s="67"/>
      <c r="F8" s="67"/>
      <c r="G8" s="68"/>
    </row>
    <row r="9" spans="2:7" s="1" customFormat="1" x14ac:dyDescent="0.25">
      <c r="B9" s="69"/>
      <c r="C9" s="67"/>
      <c r="D9" s="67"/>
      <c r="E9" s="67"/>
      <c r="F9" s="67"/>
      <c r="G9" s="68"/>
    </row>
    <row r="10" spans="2:7" s="1" customFormat="1" x14ac:dyDescent="0.25">
      <c r="B10" s="66" t="s">
        <v>72</v>
      </c>
      <c r="C10" s="67"/>
      <c r="D10" s="67"/>
      <c r="E10" s="67"/>
      <c r="F10" s="67"/>
      <c r="G10" s="68"/>
    </row>
    <row r="11" spans="2:7" s="1" customFormat="1" x14ac:dyDescent="0.25">
      <c r="B11" s="66" t="s">
        <v>73</v>
      </c>
      <c r="C11" s="67"/>
      <c r="D11" s="67"/>
      <c r="E11" s="67"/>
      <c r="F11" s="67"/>
      <c r="G11" s="68"/>
    </row>
    <row r="12" spans="2:7" x14ac:dyDescent="0.25">
      <c r="B12" s="70" t="s">
        <v>74</v>
      </c>
      <c r="C12" s="67"/>
      <c r="D12" s="67"/>
      <c r="E12" s="67"/>
      <c r="F12" s="67"/>
      <c r="G12" s="68"/>
    </row>
    <row r="13" spans="2:7" x14ac:dyDescent="0.25">
      <c r="B13" s="66"/>
      <c r="C13" s="67"/>
      <c r="D13" s="67"/>
      <c r="E13" s="67"/>
      <c r="F13" s="67"/>
      <c r="G13" s="68"/>
    </row>
    <row r="14" spans="2:7" x14ac:dyDescent="0.25">
      <c r="B14" s="69" t="s">
        <v>71</v>
      </c>
      <c r="C14" s="67"/>
      <c r="D14" s="67"/>
      <c r="E14" s="67"/>
      <c r="F14" s="67"/>
      <c r="G14" s="68"/>
    </row>
    <row r="15" spans="2:7" x14ac:dyDescent="0.25">
      <c r="B15" s="66" t="s">
        <v>84</v>
      </c>
      <c r="C15" s="67"/>
      <c r="D15" s="67"/>
      <c r="E15" s="67"/>
      <c r="F15" s="67"/>
      <c r="G15" s="68"/>
    </row>
    <row r="16" spans="2:7" s="1" customFormat="1" x14ac:dyDescent="0.25">
      <c r="B16" s="66" t="s">
        <v>85</v>
      </c>
      <c r="C16" s="67"/>
      <c r="D16" s="67"/>
      <c r="E16" s="67"/>
      <c r="F16" s="67"/>
      <c r="G16" s="68"/>
    </row>
    <row r="17" spans="2:7" x14ac:dyDescent="0.25">
      <c r="B17" s="66" t="s">
        <v>87</v>
      </c>
      <c r="C17" s="67"/>
      <c r="D17" s="67"/>
      <c r="E17" s="67"/>
      <c r="F17" s="67"/>
      <c r="G17" s="68"/>
    </row>
    <row r="18" spans="2:7" s="1" customFormat="1" x14ac:dyDescent="0.25">
      <c r="B18" s="66" t="s">
        <v>78</v>
      </c>
      <c r="C18" s="67"/>
      <c r="D18" s="67"/>
      <c r="E18" s="67"/>
      <c r="F18" s="67"/>
      <c r="G18" s="68"/>
    </row>
    <row r="19" spans="2:7" s="1" customFormat="1" x14ac:dyDescent="0.25">
      <c r="B19" s="66"/>
      <c r="C19" s="67"/>
      <c r="D19" s="67"/>
      <c r="E19" s="67"/>
      <c r="F19" s="67"/>
      <c r="G19" s="68"/>
    </row>
    <row r="20" spans="2:7" x14ac:dyDescent="0.25">
      <c r="B20" s="66" t="s">
        <v>86</v>
      </c>
      <c r="C20" s="67"/>
      <c r="D20" s="67"/>
      <c r="E20" s="67"/>
      <c r="F20" s="67"/>
      <c r="G20" s="68"/>
    </row>
    <row r="21" spans="2:7" s="1" customFormat="1" x14ac:dyDescent="0.25">
      <c r="B21" s="69" t="s">
        <v>75</v>
      </c>
      <c r="C21" s="67"/>
      <c r="D21" s="67"/>
      <c r="E21" s="67"/>
      <c r="F21" s="67"/>
      <c r="G21" s="68"/>
    </row>
    <row r="22" spans="2:7" x14ac:dyDescent="0.25">
      <c r="B22" s="66"/>
      <c r="C22" s="67"/>
      <c r="D22" s="67"/>
      <c r="E22" s="67"/>
      <c r="F22" s="67"/>
      <c r="G22" s="68"/>
    </row>
    <row r="23" spans="2:7" x14ac:dyDescent="0.25">
      <c r="B23" s="71" t="s">
        <v>76</v>
      </c>
      <c r="C23" s="67"/>
      <c r="D23" s="67"/>
      <c r="E23" s="67"/>
      <c r="F23" s="67"/>
      <c r="G23" s="68"/>
    </row>
    <row r="24" spans="2:7" s="1" customFormat="1" x14ac:dyDescent="0.25">
      <c r="B24" s="72" t="s">
        <v>81</v>
      </c>
      <c r="C24" s="67"/>
      <c r="D24" s="67"/>
      <c r="E24" s="67"/>
      <c r="F24" s="67"/>
      <c r="G24" s="68"/>
    </row>
    <row r="25" spans="2:7" x14ac:dyDescent="0.25">
      <c r="B25" s="66" t="s">
        <v>82</v>
      </c>
      <c r="C25" s="67"/>
      <c r="D25" s="67"/>
      <c r="E25" s="67"/>
      <c r="F25" s="67"/>
      <c r="G25" s="68"/>
    </row>
    <row r="26" spans="2:7" s="1" customFormat="1" ht="8.25" customHeight="1" x14ac:dyDescent="0.25">
      <c r="B26" s="66"/>
      <c r="C26" s="67"/>
      <c r="D26" s="67"/>
      <c r="E26" s="67"/>
      <c r="F26" s="67"/>
      <c r="G26" s="68"/>
    </row>
    <row r="27" spans="2:7" s="1" customFormat="1" x14ac:dyDescent="0.25">
      <c r="B27" s="66"/>
      <c r="C27" s="73"/>
      <c r="D27" s="74" t="s">
        <v>79</v>
      </c>
      <c r="E27" s="67"/>
      <c r="F27" s="67"/>
      <c r="G27" s="68"/>
    </row>
    <row r="28" spans="2:7" s="1" customFormat="1" x14ac:dyDescent="0.25">
      <c r="B28" s="66"/>
      <c r="C28" s="73"/>
      <c r="D28" s="74" t="s">
        <v>80</v>
      </c>
      <c r="E28" s="67"/>
      <c r="F28" s="67"/>
      <c r="G28" s="68"/>
    </row>
    <row r="29" spans="2:7" ht="11.25" customHeight="1" x14ac:dyDescent="0.25">
      <c r="B29" s="75"/>
      <c r="C29" s="76"/>
      <c r="D29" s="76"/>
      <c r="E29" s="76"/>
      <c r="F29" s="76"/>
      <c r="G29" s="77"/>
    </row>
  </sheetData>
  <mergeCells count="1">
    <mergeCell ref="B1:G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61"/>
  <sheetViews>
    <sheetView workbookViewId="0">
      <selection activeCell="B15" sqref="B15"/>
    </sheetView>
  </sheetViews>
  <sheetFormatPr defaultRowHeight="15" x14ac:dyDescent="0.25"/>
  <cols>
    <col min="1" max="1" width="25" customWidth="1"/>
    <col min="2" max="2" width="19.28515625" customWidth="1"/>
    <col min="3" max="3" width="16.140625" customWidth="1"/>
    <col min="4" max="4" width="11.28515625" customWidth="1"/>
    <col min="5" max="5" width="12.140625" customWidth="1"/>
    <col min="6" max="6" width="14.140625" customWidth="1"/>
    <col min="7" max="7" width="12.7109375" customWidth="1"/>
    <col min="8" max="8" width="11.5703125" style="37" customWidth="1"/>
    <col min="9" max="9" width="17.42578125" customWidth="1"/>
    <col min="11" max="11" width="15.5703125" customWidth="1"/>
    <col min="12" max="12" width="13.85546875" customWidth="1"/>
  </cols>
  <sheetData>
    <row r="1" spans="1:12" ht="26.25" x14ac:dyDescent="0.25">
      <c r="A1" s="156" t="s">
        <v>129</v>
      </c>
      <c r="B1" s="157"/>
      <c r="C1" s="157"/>
      <c r="D1" s="157"/>
      <c r="E1" s="157"/>
      <c r="F1" s="157"/>
      <c r="G1" s="157"/>
      <c r="H1" s="157"/>
      <c r="I1" s="158"/>
    </row>
    <row r="2" spans="1:12" x14ac:dyDescent="0.25">
      <c r="A2" s="159" t="s">
        <v>107</v>
      </c>
      <c r="B2" s="160"/>
      <c r="C2" s="160"/>
      <c r="D2" s="160"/>
      <c r="E2" s="160"/>
      <c r="F2" s="160"/>
      <c r="G2" s="160"/>
      <c r="H2" s="160"/>
      <c r="I2" s="161"/>
    </row>
    <row r="3" spans="1:12" ht="26.25" customHeight="1" x14ac:dyDescent="0.25">
      <c r="A3" s="141" t="s">
        <v>51</v>
      </c>
      <c r="B3" s="141" t="s">
        <v>28</v>
      </c>
      <c r="C3" s="141" t="s">
        <v>3</v>
      </c>
      <c r="D3" s="141" t="s">
        <v>24</v>
      </c>
      <c r="E3" s="141" t="s">
        <v>4</v>
      </c>
      <c r="F3" s="141" t="s">
        <v>26</v>
      </c>
      <c r="G3" s="142" t="s">
        <v>25</v>
      </c>
      <c r="H3" s="153" t="s">
        <v>63</v>
      </c>
      <c r="I3" s="141" t="s">
        <v>130</v>
      </c>
    </row>
    <row r="4" spans="1:12" x14ac:dyDescent="0.25">
      <c r="A4" s="11"/>
      <c r="B4" s="11"/>
      <c r="C4" s="11"/>
      <c r="D4" s="12"/>
      <c r="E4" s="13"/>
      <c r="F4" s="11"/>
      <c r="G4" s="152"/>
      <c r="H4" s="43"/>
      <c r="I4" s="32"/>
      <c r="K4" s="144" t="s">
        <v>0</v>
      </c>
      <c r="L4" s="145" t="s">
        <v>1</v>
      </c>
    </row>
    <row r="5" spans="1:12" x14ac:dyDescent="0.25">
      <c r="A5" s="11"/>
      <c r="B5" s="11"/>
      <c r="C5" s="11"/>
      <c r="D5" s="12"/>
      <c r="E5" s="13"/>
      <c r="F5" s="11"/>
      <c r="G5" s="89"/>
      <c r="H5" s="43"/>
      <c r="I5" s="32" t="e">
        <f t="shared" ref="I5:I35" si="0">E5/H5</f>
        <v>#DIV/0!</v>
      </c>
      <c r="K5" s="146"/>
      <c r="L5" s="147"/>
    </row>
    <row r="6" spans="1:12" x14ac:dyDescent="0.25">
      <c r="A6" s="11"/>
      <c r="B6" s="11"/>
      <c r="C6" s="11"/>
      <c r="D6" s="12"/>
      <c r="E6" s="13"/>
      <c r="F6" s="11"/>
      <c r="G6" s="89"/>
      <c r="H6" s="43"/>
      <c r="I6" s="32" t="e">
        <f t="shared" si="0"/>
        <v>#DIV/0!</v>
      </c>
      <c r="K6" s="148"/>
      <c r="L6" s="149"/>
    </row>
    <row r="7" spans="1:12" x14ac:dyDescent="0.25">
      <c r="A7" s="6"/>
      <c r="B7" s="6"/>
      <c r="C7" s="6"/>
      <c r="D7" s="7"/>
      <c r="E7" s="8"/>
      <c r="F7" s="6"/>
      <c r="G7" s="90"/>
      <c r="H7" s="43"/>
      <c r="I7" s="32" t="e">
        <f t="shared" si="0"/>
        <v>#DIV/0!</v>
      </c>
      <c r="K7" s="146"/>
      <c r="L7" s="147"/>
    </row>
    <row r="8" spans="1:12" x14ac:dyDescent="0.25">
      <c r="A8" s="11"/>
      <c r="B8" s="11"/>
      <c r="C8" s="11"/>
      <c r="D8" s="12"/>
      <c r="E8" s="51"/>
      <c r="F8" s="11"/>
      <c r="G8" s="91"/>
      <c r="H8" s="43"/>
      <c r="I8" s="32" t="e">
        <f t="shared" si="0"/>
        <v>#DIV/0!</v>
      </c>
      <c r="K8" s="148"/>
      <c r="L8" s="149"/>
    </row>
    <row r="9" spans="1:12" x14ac:dyDescent="0.25">
      <c r="A9" s="11"/>
      <c r="B9" s="11"/>
      <c r="C9" s="11"/>
      <c r="D9" s="12"/>
      <c r="E9" s="13"/>
      <c r="F9" s="11"/>
      <c r="G9" s="91"/>
      <c r="H9" s="43"/>
      <c r="I9" s="32" t="e">
        <f t="shared" si="0"/>
        <v>#DIV/0!</v>
      </c>
      <c r="K9" s="146"/>
      <c r="L9" s="147"/>
    </row>
    <row r="10" spans="1:12" x14ac:dyDescent="0.25">
      <c r="A10" s="11"/>
      <c r="B10" s="11"/>
      <c r="C10" s="11"/>
      <c r="D10" s="12"/>
      <c r="E10" s="13"/>
      <c r="F10" s="11"/>
      <c r="G10" s="89"/>
      <c r="H10" s="43"/>
      <c r="I10" s="32" t="e">
        <f t="shared" si="0"/>
        <v>#DIV/0!</v>
      </c>
      <c r="K10" s="148"/>
      <c r="L10" s="149"/>
    </row>
    <row r="11" spans="1:12" x14ac:dyDescent="0.25">
      <c r="A11" s="11"/>
      <c r="B11" s="11"/>
      <c r="C11" s="11"/>
      <c r="D11" s="12"/>
      <c r="E11" s="13"/>
      <c r="F11" s="11"/>
      <c r="G11" s="92"/>
      <c r="H11" s="43"/>
      <c r="I11" s="32" t="e">
        <f t="shared" si="0"/>
        <v>#DIV/0!</v>
      </c>
      <c r="K11" s="146"/>
      <c r="L11" s="147"/>
    </row>
    <row r="12" spans="1:12" x14ac:dyDescent="0.25">
      <c r="A12" s="11"/>
      <c r="B12" s="11"/>
      <c r="C12" s="11"/>
      <c r="D12" s="12"/>
      <c r="E12" s="13"/>
      <c r="F12" s="11"/>
      <c r="G12" s="92"/>
      <c r="H12" s="43"/>
      <c r="I12" s="32" t="e">
        <f t="shared" si="0"/>
        <v>#DIV/0!</v>
      </c>
      <c r="K12" s="148"/>
      <c r="L12" s="149"/>
    </row>
    <row r="13" spans="1:12" x14ac:dyDescent="0.25">
      <c r="A13" s="11"/>
      <c r="B13" s="11"/>
      <c r="C13" s="11"/>
      <c r="D13" s="12"/>
      <c r="E13" s="13"/>
      <c r="F13" s="11"/>
      <c r="G13" s="89"/>
      <c r="H13" s="43"/>
      <c r="I13" s="32" t="e">
        <f t="shared" si="0"/>
        <v>#DIV/0!</v>
      </c>
      <c r="K13" s="146"/>
      <c r="L13" s="147"/>
    </row>
    <row r="14" spans="1:12" x14ac:dyDescent="0.25">
      <c r="A14" s="11"/>
      <c r="B14" s="11"/>
      <c r="C14" s="11"/>
      <c r="D14" s="12"/>
      <c r="E14" s="13"/>
      <c r="F14" s="11"/>
      <c r="G14" s="93"/>
      <c r="H14" s="43"/>
      <c r="I14" s="32" t="e">
        <f t="shared" si="0"/>
        <v>#DIV/0!</v>
      </c>
      <c r="K14" s="148"/>
      <c r="L14" s="149"/>
    </row>
    <row r="15" spans="1:12" x14ac:dyDescent="0.25">
      <c r="A15" s="11"/>
      <c r="B15" s="11"/>
      <c r="C15" s="11"/>
      <c r="D15" s="12"/>
      <c r="E15" s="13"/>
      <c r="F15" s="11"/>
      <c r="G15" s="91"/>
      <c r="H15" s="43"/>
      <c r="I15" s="32" t="e">
        <f t="shared" si="0"/>
        <v>#DIV/0!</v>
      </c>
      <c r="K15" s="146"/>
      <c r="L15" s="147"/>
    </row>
    <row r="16" spans="1:12" x14ac:dyDescent="0.25">
      <c r="A16" s="11"/>
      <c r="B16" s="11"/>
      <c r="C16" s="11"/>
      <c r="D16" s="12"/>
      <c r="E16" s="13"/>
      <c r="F16" s="11"/>
      <c r="G16" s="89"/>
      <c r="H16" s="43"/>
      <c r="I16" s="32" t="e">
        <f t="shared" si="0"/>
        <v>#DIV/0!</v>
      </c>
      <c r="K16" s="148"/>
      <c r="L16" s="149"/>
    </row>
    <row r="17" spans="1:12" x14ac:dyDescent="0.25">
      <c r="A17" s="11"/>
      <c r="B17" s="11"/>
      <c r="C17" s="11"/>
      <c r="D17" s="12"/>
      <c r="E17" s="13"/>
      <c r="F17" s="11"/>
      <c r="G17" s="89"/>
      <c r="H17" s="43"/>
      <c r="I17" s="32" t="e">
        <f t="shared" si="0"/>
        <v>#DIV/0!</v>
      </c>
      <c r="K17" s="146"/>
      <c r="L17" s="147"/>
    </row>
    <row r="18" spans="1:12" x14ac:dyDescent="0.25">
      <c r="A18" s="11"/>
      <c r="B18" s="11"/>
      <c r="C18" s="11"/>
      <c r="D18" s="12"/>
      <c r="E18" s="13"/>
      <c r="F18" s="11"/>
      <c r="G18" s="143"/>
      <c r="H18" s="43"/>
      <c r="I18" s="32" t="e">
        <f t="shared" si="0"/>
        <v>#DIV/0!</v>
      </c>
      <c r="K18" s="148"/>
      <c r="L18" s="149"/>
    </row>
    <row r="19" spans="1:12" x14ac:dyDescent="0.25">
      <c r="A19" s="11"/>
      <c r="B19" s="11"/>
      <c r="C19" s="11"/>
      <c r="D19" s="12"/>
      <c r="E19" s="13"/>
      <c r="F19" s="11"/>
      <c r="G19" s="89"/>
      <c r="H19" s="43"/>
      <c r="I19" s="32" t="e">
        <f t="shared" si="0"/>
        <v>#DIV/0!</v>
      </c>
      <c r="K19" s="146"/>
      <c r="L19" s="147"/>
    </row>
    <row r="20" spans="1:12" x14ac:dyDescent="0.25">
      <c r="A20" s="11"/>
      <c r="B20" s="11"/>
      <c r="C20" s="11"/>
      <c r="D20" s="12"/>
      <c r="E20" s="13"/>
      <c r="F20" s="11"/>
      <c r="G20" s="89"/>
      <c r="H20" s="43"/>
      <c r="I20" s="32" t="e">
        <f t="shared" si="0"/>
        <v>#DIV/0!</v>
      </c>
      <c r="K20" s="150"/>
      <c r="L20" s="151"/>
    </row>
    <row r="21" spans="1:12" x14ac:dyDescent="0.25">
      <c r="A21" s="11"/>
      <c r="B21" s="11"/>
      <c r="C21" s="11"/>
      <c r="D21" s="12"/>
      <c r="E21" s="13"/>
      <c r="F21" s="11"/>
      <c r="G21" s="91"/>
      <c r="H21" s="43"/>
      <c r="I21" s="32" t="e">
        <f t="shared" si="0"/>
        <v>#DIV/0!</v>
      </c>
    </row>
    <row r="22" spans="1:12" x14ac:dyDescent="0.25">
      <c r="A22" s="11"/>
      <c r="B22" s="11"/>
      <c r="C22" s="11"/>
      <c r="D22" s="12"/>
      <c r="E22" s="13"/>
      <c r="F22" s="11"/>
      <c r="G22" s="92"/>
      <c r="H22" s="43"/>
      <c r="I22" s="32" t="e">
        <f t="shared" si="0"/>
        <v>#DIV/0!</v>
      </c>
    </row>
    <row r="23" spans="1:12" x14ac:dyDescent="0.25">
      <c r="A23" s="11"/>
      <c r="B23" s="11"/>
      <c r="C23" s="11"/>
      <c r="D23" s="12"/>
      <c r="E23" s="13"/>
      <c r="F23" s="11"/>
      <c r="G23" s="91"/>
      <c r="H23" s="43"/>
      <c r="I23" s="32" t="e">
        <f t="shared" si="0"/>
        <v>#DIV/0!</v>
      </c>
    </row>
    <row r="24" spans="1:12" x14ac:dyDescent="0.25">
      <c r="A24" s="11"/>
      <c r="B24" s="11"/>
      <c r="C24" s="11"/>
      <c r="D24" s="12"/>
      <c r="E24" s="13"/>
      <c r="F24" s="11"/>
      <c r="G24" s="91"/>
      <c r="H24" s="43"/>
      <c r="I24" s="32" t="e">
        <f t="shared" si="0"/>
        <v>#DIV/0!</v>
      </c>
    </row>
    <row r="25" spans="1:12" x14ac:dyDescent="0.25">
      <c r="A25" s="11"/>
      <c r="B25" s="11"/>
      <c r="C25" s="11"/>
      <c r="D25" s="12"/>
      <c r="E25" s="13"/>
      <c r="F25" s="11"/>
      <c r="G25" s="95"/>
      <c r="H25" s="43"/>
      <c r="I25" s="32" t="e">
        <f t="shared" si="0"/>
        <v>#DIV/0!</v>
      </c>
    </row>
    <row r="26" spans="1:12" x14ac:dyDescent="0.25">
      <c r="A26" s="11"/>
      <c r="B26" s="11"/>
      <c r="C26" s="11"/>
      <c r="D26" s="12"/>
      <c r="E26" s="13"/>
      <c r="F26" s="11"/>
      <c r="G26" s="91"/>
      <c r="H26" s="43"/>
      <c r="I26" s="32" t="e">
        <f t="shared" si="0"/>
        <v>#DIV/0!</v>
      </c>
    </row>
    <row r="27" spans="1:12" x14ac:dyDescent="0.25">
      <c r="A27" s="11"/>
      <c r="B27" s="11"/>
      <c r="C27" s="11"/>
      <c r="D27" s="12"/>
      <c r="E27" s="13"/>
      <c r="F27" s="11"/>
      <c r="G27" s="91"/>
      <c r="H27" s="43"/>
      <c r="I27" s="32" t="e">
        <f t="shared" si="0"/>
        <v>#DIV/0!</v>
      </c>
    </row>
    <row r="28" spans="1:12" x14ac:dyDescent="0.25">
      <c r="A28" s="11"/>
      <c r="B28" s="11"/>
      <c r="C28" s="11"/>
      <c r="D28" s="12"/>
      <c r="E28" s="13"/>
      <c r="F28" s="11"/>
      <c r="G28" s="91"/>
      <c r="H28" s="43"/>
      <c r="I28" s="32" t="e">
        <f t="shared" si="0"/>
        <v>#DIV/0!</v>
      </c>
    </row>
    <row r="29" spans="1:12" x14ac:dyDescent="0.25">
      <c r="A29" s="11"/>
      <c r="B29" s="11"/>
      <c r="C29" s="11"/>
      <c r="D29" s="12"/>
      <c r="E29" s="13"/>
      <c r="F29" s="11"/>
      <c r="G29" s="9"/>
      <c r="H29" s="43"/>
      <c r="I29" s="32" t="e">
        <f t="shared" si="0"/>
        <v>#DIV/0!</v>
      </c>
    </row>
    <row r="30" spans="1:12" x14ac:dyDescent="0.25">
      <c r="A30" s="11"/>
      <c r="B30" s="11"/>
      <c r="C30" s="11"/>
      <c r="D30" s="12"/>
      <c r="E30" s="13"/>
      <c r="F30" s="11"/>
      <c r="G30" s="9"/>
      <c r="H30" s="43"/>
      <c r="I30" s="32" t="e">
        <f t="shared" si="0"/>
        <v>#DIV/0!</v>
      </c>
    </row>
    <row r="31" spans="1:12" x14ac:dyDescent="0.25">
      <c r="A31" s="11"/>
      <c r="B31" s="11"/>
      <c r="C31" s="11"/>
      <c r="D31" s="12"/>
      <c r="E31" s="13"/>
      <c r="F31" s="11"/>
      <c r="G31" s="91"/>
      <c r="H31" s="43"/>
      <c r="I31" s="32" t="e">
        <f t="shared" si="0"/>
        <v>#DIV/0!</v>
      </c>
    </row>
    <row r="32" spans="1:12" x14ac:dyDescent="0.25">
      <c r="A32" s="11"/>
      <c r="B32" s="11"/>
      <c r="C32" s="11"/>
      <c r="D32" s="12"/>
      <c r="E32" s="13"/>
      <c r="F32" s="11"/>
      <c r="G32" s="53"/>
      <c r="H32" s="43"/>
      <c r="I32" s="32" t="e">
        <f t="shared" si="0"/>
        <v>#DIV/0!</v>
      </c>
    </row>
    <row r="33" spans="1:9" x14ac:dyDescent="0.25">
      <c r="A33" s="11"/>
      <c r="B33" s="11"/>
      <c r="C33" s="11"/>
      <c r="D33" s="12"/>
      <c r="E33" s="13"/>
      <c r="F33" s="11"/>
      <c r="G33" s="95"/>
      <c r="H33" s="43"/>
      <c r="I33" s="32" t="e">
        <f t="shared" si="0"/>
        <v>#DIV/0!</v>
      </c>
    </row>
    <row r="34" spans="1:9" x14ac:dyDescent="0.25">
      <c r="A34" s="11"/>
      <c r="B34" s="11"/>
      <c r="C34" s="11"/>
      <c r="D34" s="12"/>
      <c r="E34" s="13"/>
      <c r="F34" s="11"/>
      <c r="G34" s="91"/>
      <c r="H34" s="43"/>
      <c r="I34" s="32" t="e">
        <f t="shared" si="0"/>
        <v>#DIV/0!</v>
      </c>
    </row>
    <row r="35" spans="1:9" x14ac:dyDescent="0.25">
      <c r="A35" s="11"/>
      <c r="B35" s="11"/>
      <c r="C35" s="11"/>
      <c r="D35" s="12"/>
      <c r="E35" s="13"/>
      <c r="F35" s="11"/>
      <c r="G35" s="91"/>
      <c r="H35" s="43"/>
      <c r="I35" s="32" t="e">
        <f t="shared" si="0"/>
        <v>#DIV/0!</v>
      </c>
    </row>
    <row r="36" spans="1:9" x14ac:dyDescent="0.25">
      <c r="A36" s="11"/>
      <c r="B36" s="11"/>
      <c r="C36" s="11"/>
      <c r="D36" s="12"/>
      <c r="E36" s="13"/>
      <c r="F36" s="11"/>
      <c r="G36" s="92"/>
      <c r="H36" s="43"/>
      <c r="I36" s="32" t="e">
        <f t="shared" ref="I36:I60" si="1">E36/H36</f>
        <v>#DIV/0!</v>
      </c>
    </row>
    <row r="37" spans="1:9" x14ac:dyDescent="0.25">
      <c r="A37" s="11"/>
      <c r="B37" s="11"/>
      <c r="C37" s="11"/>
      <c r="D37" s="12"/>
      <c r="E37" s="13"/>
      <c r="F37" s="11"/>
      <c r="G37" s="91"/>
      <c r="H37" s="43"/>
      <c r="I37" s="32" t="e">
        <f t="shared" si="1"/>
        <v>#DIV/0!</v>
      </c>
    </row>
    <row r="38" spans="1:9" x14ac:dyDescent="0.25">
      <c r="A38" s="11"/>
      <c r="B38" s="11"/>
      <c r="C38" s="11"/>
      <c r="D38" s="12"/>
      <c r="E38" s="13"/>
      <c r="F38" s="11"/>
      <c r="G38" s="9"/>
      <c r="H38" s="43"/>
      <c r="I38" s="32" t="e">
        <f t="shared" si="1"/>
        <v>#DIV/0!</v>
      </c>
    </row>
    <row r="39" spans="1:9" x14ac:dyDescent="0.25">
      <c r="A39" s="11"/>
      <c r="B39" s="11"/>
      <c r="C39" s="11"/>
      <c r="D39" s="12"/>
      <c r="E39" s="13"/>
      <c r="F39" s="11"/>
      <c r="G39" s="9"/>
      <c r="H39" s="43"/>
      <c r="I39" s="32" t="e">
        <f t="shared" si="1"/>
        <v>#DIV/0!</v>
      </c>
    </row>
    <row r="40" spans="1:9" x14ac:dyDescent="0.25">
      <c r="A40" s="11"/>
      <c r="B40" s="11"/>
      <c r="C40" s="11"/>
      <c r="D40" s="12"/>
      <c r="E40" s="13"/>
      <c r="F40" s="11"/>
      <c r="G40" s="91"/>
      <c r="H40" s="43"/>
      <c r="I40" s="32" t="e">
        <f t="shared" si="1"/>
        <v>#DIV/0!</v>
      </c>
    </row>
    <row r="41" spans="1:9" x14ac:dyDescent="0.25">
      <c r="A41" s="11"/>
      <c r="B41" s="11"/>
      <c r="C41" s="11"/>
      <c r="D41" s="12"/>
      <c r="E41" s="13"/>
      <c r="F41" s="11"/>
      <c r="G41" s="95"/>
      <c r="H41" s="43"/>
      <c r="I41" s="32" t="e">
        <f t="shared" si="1"/>
        <v>#DIV/0!</v>
      </c>
    </row>
    <row r="42" spans="1:9" x14ac:dyDescent="0.25">
      <c r="A42" s="11"/>
      <c r="B42" s="11"/>
      <c r="C42" s="11"/>
      <c r="D42" s="12"/>
      <c r="E42" s="13"/>
      <c r="F42" s="11"/>
      <c r="G42" s="91"/>
      <c r="H42" s="43"/>
      <c r="I42" s="32" t="e">
        <f t="shared" si="1"/>
        <v>#DIV/0!</v>
      </c>
    </row>
    <row r="43" spans="1:9" x14ac:dyDescent="0.25">
      <c r="A43" s="11"/>
      <c r="B43" s="11"/>
      <c r="C43" s="11"/>
      <c r="D43" s="12"/>
      <c r="E43" s="13"/>
      <c r="F43" s="11"/>
      <c r="G43" s="92"/>
      <c r="H43" s="43"/>
      <c r="I43" s="32" t="e">
        <f t="shared" si="1"/>
        <v>#DIV/0!</v>
      </c>
    </row>
    <row r="44" spans="1:9" x14ac:dyDescent="0.25">
      <c r="A44" s="11"/>
      <c r="B44" s="11"/>
      <c r="C44" s="11"/>
      <c r="D44" s="12"/>
      <c r="E44" s="13"/>
      <c r="F44" s="11"/>
      <c r="G44" s="91"/>
      <c r="H44" s="43"/>
      <c r="I44" s="32" t="e">
        <f t="shared" si="1"/>
        <v>#DIV/0!</v>
      </c>
    </row>
    <row r="45" spans="1:9" x14ac:dyDescent="0.25">
      <c r="A45" s="11"/>
      <c r="B45" s="11"/>
      <c r="C45" s="11"/>
      <c r="D45" s="12"/>
      <c r="E45" s="13"/>
      <c r="F45" s="11"/>
      <c r="G45" s="91"/>
      <c r="H45" s="43"/>
      <c r="I45" s="32" t="e">
        <f t="shared" si="1"/>
        <v>#DIV/0!</v>
      </c>
    </row>
    <row r="46" spans="1:9" x14ac:dyDescent="0.25">
      <c r="A46" s="11"/>
      <c r="B46" s="11"/>
      <c r="C46" s="11"/>
      <c r="D46" s="12"/>
      <c r="E46" s="13"/>
      <c r="F46" s="11"/>
      <c r="G46" s="95"/>
      <c r="H46" s="43"/>
      <c r="I46" s="32" t="e">
        <f t="shared" si="1"/>
        <v>#DIV/0!</v>
      </c>
    </row>
    <row r="47" spans="1:9" x14ac:dyDescent="0.25">
      <c r="A47" s="11"/>
      <c r="B47" s="11"/>
      <c r="C47" s="11"/>
      <c r="D47" s="12"/>
      <c r="E47" s="13"/>
      <c r="F47" s="11"/>
      <c r="G47" s="91"/>
      <c r="H47" s="43"/>
      <c r="I47" s="32" t="e">
        <f t="shared" si="1"/>
        <v>#DIV/0!</v>
      </c>
    </row>
    <row r="48" spans="1:9" x14ac:dyDescent="0.25">
      <c r="A48" s="11"/>
      <c r="B48" s="11"/>
      <c r="C48" s="11"/>
      <c r="D48" s="12"/>
      <c r="E48" s="13"/>
      <c r="F48" s="11"/>
      <c r="G48" s="91"/>
      <c r="H48" s="43"/>
      <c r="I48" s="32" t="e">
        <f t="shared" si="1"/>
        <v>#DIV/0!</v>
      </c>
    </row>
    <row r="49" spans="1:9" x14ac:dyDescent="0.25">
      <c r="A49" s="11"/>
      <c r="B49" s="11"/>
      <c r="C49" s="11"/>
      <c r="D49" s="12"/>
      <c r="E49" s="13"/>
      <c r="F49" s="11"/>
      <c r="G49" s="95"/>
      <c r="H49" s="43"/>
      <c r="I49" s="32" t="e">
        <f t="shared" si="1"/>
        <v>#DIV/0!</v>
      </c>
    </row>
    <row r="50" spans="1:9" x14ac:dyDescent="0.25">
      <c r="A50" s="11"/>
      <c r="B50" s="11"/>
      <c r="C50" s="11"/>
      <c r="D50" s="12"/>
      <c r="E50" s="13"/>
      <c r="F50" s="11"/>
      <c r="G50" s="96"/>
      <c r="H50" s="43"/>
      <c r="I50" s="32" t="e">
        <f t="shared" si="1"/>
        <v>#DIV/0!</v>
      </c>
    </row>
    <row r="51" spans="1:9" x14ac:dyDescent="0.25">
      <c r="A51" s="11"/>
      <c r="B51" s="11"/>
      <c r="C51" s="11"/>
      <c r="D51" s="12"/>
      <c r="E51" s="13"/>
      <c r="F51" s="11"/>
      <c r="G51" s="91"/>
      <c r="H51" s="43"/>
      <c r="I51" s="32" t="e">
        <f t="shared" si="1"/>
        <v>#DIV/0!</v>
      </c>
    </row>
    <row r="52" spans="1:9" x14ac:dyDescent="0.25">
      <c r="A52" s="11"/>
      <c r="B52" s="11"/>
      <c r="C52" s="11"/>
      <c r="D52" s="12"/>
      <c r="E52" s="13"/>
      <c r="F52" s="11"/>
      <c r="G52" s="95"/>
      <c r="H52" s="43"/>
      <c r="I52" s="32" t="e">
        <f t="shared" si="1"/>
        <v>#DIV/0!</v>
      </c>
    </row>
    <row r="53" spans="1:9" x14ac:dyDescent="0.25">
      <c r="A53" s="11"/>
      <c r="B53" s="11"/>
      <c r="C53" s="11"/>
      <c r="D53" s="12"/>
      <c r="E53" s="13"/>
      <c r="F53" s="11"/>
      <c r="G53" s="93"/>
      <c r="H53" s="43"/>
      <c r="I53" s="32" t="e">
        <f t="shared" si="1"/>
        <v>#DIV/0!</v>
      </c>
    </row>
    <row r="54" spans="1:9" x14ac:dyDescent="0.25">
      <c r="A54" s="11"/>
      <c r="B54" s="11"/>
      <c r="C54" s="11"/>
      <c r="D54" s="12"/>
      <c r="E54" s="13"/>
      <c r="F54" s="11"/>
      <c r="G54" s="91"/>
      <c r="H54" s="43"/>
      <c r="I54" s="32" t="e">
        <f t="shared" si="1"/>
        <v>#DIV/0!</v>
      </c>
    </row>
    <row r="55" spans="1:9" x14ac:dyDescent="0.25">
      <c r="A55" s="11"/>
      <c r="B55" s="11"/>
      <c r="C55" s="11"/>
      <c r="D55" s="12"/>
      <c r="E55" s="13"/>
      <c r="F55" s="11"/>
      <c r="G55" s="91"/>
      <c r="H55" s="43"/>
      <c r="I55" s="32" t="e">
        <f t="shared" si="1"/>
        <v>#DIV/0!</v>
      </c>
    </row>
    <row r="56" spans="1:9" x14ac:dyDescent="0.25">
      <c r="A56" s="11"/>
      <c r="B56" s="11"/>
      <c r="C56" s="11"/>
      <c r="D56" s="12"/>
      <c r="E56" s="13"/>
      <c r="F56" s="11"/>
      <c r="G56" s="91"/>
      <c r="H56" s="43"/>
      <c r="I56" s="32" t="e">
        <f t="shared" si="1"/>
        <v>#DIV/0!</v>
      </c>
    </row>
    <row r="57" spans="1:9" x14ac:dyDescent="0.25">
      <c r="A57" s="11"/>
      <c r="B57" s="11"/>
      <c r="C57" s="11"/>
      <c r="D57" s="12"/>
      <c r="E57" s="13"/>
      <c r="F57" s="11"/>
      <c r="G57" s="9"/>
      <c r="H57" s="43"/>
      <c r="I57" s="32" t="e">
        <f t="shared" si="1"/>
        <v>#DIV/0!</v>
      </c>
    </row>
    <row r="58" spans="1:9" x14ac:dyDescent="0.25">
      <c r="A58" s="11"/>
      <c r="B58" s="11"/>
      <c r="C58" s="11"/>
      <c r="D58" s="12"/>
      <c r="E58" s="13"/>
      <c r="F58" s="11"/>
      <c r="G58" s="91"/>
      <c r="H58" s="43"/>
      <c r="I58" s="32" t="e">
        <f t="shared" si="1"/>
        <v>#DIV/0!</v>
      </c>
    </row>
    <row r="59" spans="1:9" x14ac:dyDescent="0.25">
      <c r="A59" s="11"/>
      <c r="B59" s="11"/>
      <c r="C59" s="11"/>
      <c r="D59" s="12"/>
      <c r="E59" s="13"/>
      <c r="F59" s="11"/>
      <c r="G59" s="89"/>
      <c r="H59" s="43"/>
      <c r="I59" s="32" t="e">
        <f t="shared" si="1"/>
        <v>#DIV/0!</v>
      </c>
    </row>
    <row r="60" spans="1:9" x14ac:dyDescent="0.25">
      <c r="A60" s="11"/>
      <c r="B60" s="11"/>
      <c r="C60" s="11"/>
      <c r="D60" s="12"/>
      <c r="E60" s="13"/>
      <c r="F60" s="11"/>
      <c r="G60" s="89"/>
      <c r="H60" s="43"/>
      <c r="I60" s="32" t="e">
        <f t="shared" si="1"/>
        <v>#DIV/0!</v>
      </c>
    </row>
    <row r="61" spans="1:9" x14ac:dyDescent="0.25">
      <c r="A61" s="49" t="s">
        <v>36</v>
      </c>
      <c r="B61" s="50"/>
      <c r="C61" s="50"/>
      <c r="D61" s="50"/>
      <c r="E61" s="52">
        <f>SUBTOTAL(109,E4:E60)</f>
        <v>0</v>
      </c>
      <c r="F61" s="50"/>
      <c r="G61" s="54"/>
      <c r="H61" s="154">
        <f>IF(Deltagere!A$32=G61,22,0)</f>
        <v>0</v>
      </c>
      <c r="I61" s="85" t="e">
        <f>SUM(I3:I60)</f>
        <v>#DIV/0!</v>
      </c>
    </row>
  </sheetData>
  <mergeCells count="2">
    <mergeCell ref="A1:I1"/>
    <mergeCell ref="A2:I2"/>
  </mergeCells>
  <pageMargins left="0.7" right="0.7" top="0.75" bottom="0.75" header="0.3" footer="0.3"/>
  <legacy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3" tint="0.59999389629810485"/>
  </sheetPr>
  <dimension ref="A1:L61"/>
  <sheetViews>
    <sheetView zoomScaleNormal="100" workbookViewId="0">
      <selection activeCell="A4" sqref="A4"/>
    </sheetView>
  </sheetViews>
  <sheetFormatPr defaultRowHeight="15" x14ac:dyDescent="0.25"/>
  <cols>
    <col min="1" max="1" width="28.42578125" customWidth="1"/>
    <col min="2" max="2" width="30.5703125" customWidth="1"/>
    <col min="3" max="3" width="25.7109375" style="1" customWidth="1"/>
    <col min="4" max="4" width="12.7109375" bestFit="1" customWidth="1"/>
    <col min="5" max="5" width="13.85546875" customWidth="1"/>
    <col min="6" max="6" width="11" customWidth="1"/>
    <col min="7" max="7" width="25" style="23" customWidth="1"/>
    <col min="8" max="8" width="7.7109375" style="40" customWidth="1"/>
    <col min="9" max="9" width="19.7109375" customWidth="1"/>
    <col min="10" max="10" width="13.85546875" hidden="1" customWidth="1"/>
    <col min="12" max="12" width="13.42578125" bestFit="1" customWidth="1"/>
  </cols>
  <sheetData>
    <row r="1" spans="1:12" ht="34.5" customHeight="1" x14ac:dyDescent="0.25">
      <c r="A1" s="156" t="s">
        <v>23</v>
      </c>
      <c r="B1" s="157"/>
      <c r="C1" s="157"/>
      <c r="D1" s="157"/>
      <c r="E1" s="157"/>
      <c r="F1" s="157"/>
      <c r="G1" s="157"/>
      <c r="H1" s="157"/>
      <c r="I1" s="158"/>
      <c r="J1" s="1"/>
    </row>
    <row r="2" spans="1:12" ht="14.25" customHeight="1" x14ac:dyDescent="0.25">
      <c r="A2" s="159" t="s">
        <v>107</v>
      </c>
      <c r="B2" s="160"/>
      <c r="C2" s="160"/>
      <c r="D2" s="160"/>
      <c r="E2" s="160"/>
      <c r="F2" s="160"/>
      <c r="G2" s="160"/>
      <c r="H2" s="160"/>
      <c r="I2" s="161"/>
      <c r="J2" s="1"/>
    </row>
    <row r="3" spans="1:12" x14ac:dyDescent="0.25">
      <c r="A3" s="3" t="s">
        <v>51</v>
      </c>
      <c r="B3" s="4" t="s">
        <v>28</v>
      </c>
      <c r="C3" s="4" t="s">
        <v>3</v>
      </c>
      <c r="D3" s="4" t="s">
        <v>24</v>
      </c>
      <c r="E3" s="4" t="s">
        <v>4</v>
      </c>
      <c r="F3" s="4" t="s">
        <v>26</v>
      </c>
      <c r="G3" s="22" t="s">
        <v>25</v>
      </c>
      <c r="H3" s="39" t="s">
        <v>63</v>
      </c>
      <c r="I3" s="47" t="s">
        <v>65</v>
      </c>
      <c r="J3" s="2" t="s">
        <v>104</v>
      </c>
    </row>
    <row r="4" spans="1:12" x14ac:dyDescent="0.25">
      <c r="A4" s="10"/>
      <c r="B4" s="11"/>
      <c r="C4" s="11"/>
      <c r="D4" s="12"/>
      <c r="E4" s="13"/>
      <c r="F4" s="11"/>
      <c r="G4" s="88"/>
      <c r="H4" s="43"/>
      <c r="I4" s="48"/>
      <c r="J4">
        <f t="shared" ref="J4:J35" si="0">H4*I4</f>
        <v>0</v>
      </c>
    </row>
    <row r="5" spans="1:12" x14ac:dyDescent="0.25">
      <c r="A5" s="10"/>
      <c r="B5" s="11"/>
      <c r="C5" s="11"/>
      <c r="D5" s="12"/>
      <c r="E5" s="13"/>
      <c r="F5" s="11"/>
      <c r="G5" s="89"/>
      <c r="H5" s="43"/>
      <c r="I5" s="48"/>
      <c r="J5">
        <f t="shared" si="0"/>
        <v>0</v>
      </c>
      <c r="K5" s="1"/>
      <c r="L5" s="1"/>
    </row>
    <row r="6" spans="1:12" x14ac:dyDescent="0.25">
      <c r="A6" s="10"/>
      <c r="B6" s="11"/>
      <c r="C6" s="11"/>
      <c r="D6" s="12"/>
      <c r="E6" s="13"/>
      <c r="F6" s="11"/>
      <c r="G6" s="89"/>
      <c r="H6" s="43"/>
      <c r="I6" s="48"/>
      <c r="J6">
        <f t="shared" si="0"/>
        <v>0</v>
      </c>
      <c r="K6" s="1"/>
      <c r="L6" s="1"/>
    </row>
    <row r="7" spans="1:12" x14ac:dyDescent="0.25">
      <c r="A7" s="5"/>
      <c r="B7" s="6"/>
      <c r="C7" s="6"/>
      <c r="D7" s="7"/>
      <c r="E7" s="8"/>
      <c r="F7" s="6"/>
      <c r="G7" s="90"/>
      <c r="H7" s="43"/>
      <c r="I7" s="48"/>
      <c r="J7">
        <f t="shared" si="0"/>
        <v>0</v>
      </c>
      <c r="K7" s="1"/>
      <c r="L7" s="1"/>
    </row>
    <row r="8" spans="1:12" x14ac:dyDescent="0.25">
      <c r="A8" s="10"/>
      <c r="B8" s="11"/>
      <c r="C8" s="11"/>
      <c r="D8" s="12"/>
      <c r="E8" s="51"/>
      <c r="F8" s="11"/>
      <c r="G8" s="91"/>
      <c r="H8" s="44"/>
      <c r="I8" s="48"/>
      <c r="J8">
        <f t="shared" si="0"/>
        <v>0</v>
      </c>
      <c r="L8" s="1"/>
    </row>
    <row r="9" spans="1:12" x14ac:dyDescent="0.25">
      <c r="A9" s="10"/>
      <c r="B9" s="11"/>
      <c r="C9" s="11"/>
      <c r="D9" s="12"/>
      <c r="E9" s="13"/>
      <c r="F9" s="11"/>
      <c r="G9" s="91"/>
      <c r="H9" s="43"/>
      <c r="I9" s="48"/>
      <c r="J9">
        <f t="shared" si="0"/>
        <v>0</v>
      </c>
      <c r="K9" s="1"/>
    </row>
    <row r="10" spans="1:12" x14ac:dyDescent="0.25">
      <c r="A10" s="10"/>
      <c r="B10" s="11"/>
      <c r="C10" s="11"/>
      <c r="D10" s="12"/>
      <c r="E10" s="13"/>
      <c r="F10" s="11"/>
      <c r="G10" s="89"/>
      <c r="H10" s="43"/>
      <c r="I10" s="48"/>
      <c r="J10">
        <f t="shared" si="0"/>
        <v>0</v>
      </c>
      <c r="L10" s="1"/>
    </row>
    <row r="11" spans="1:12" x14ac:dyDescent="0.25">
      <c r="A11" s="10"/>
      <c r="B11" s="11"/>
      <c r="C11" s="11"/>
      <c r="D11" s="12"/>
      <c r="E11" s="13"/>
      <c r="F11" s="11"/>
      <c r="G11" s="92"/>
      <c r="H11" s="43"/>
      <c r="I11" s="48"/>
      <c r="J11">
        <f t="shared" si="0"/>
        <v>0</v>
      </c>
    </row>
    <row r="12" spans="1:12" x14ac:dyDescent="0.25">
      <c r="A12" s="10"/>
      <c r="B12" s="11"/>
      <c r="C12" s="11"/>
      <c r="D12" s="12"/>
      <c r="E12" s="13"/>
      <c r="F12" s="11"/>
      <c r="G12" s="92"/>
      <c r="H12" s="43"/>
      <c r="I12" s="48"/>
      <c r="J12">
        <f t="shared" si="0"/>
        <v>0</v>
      </c>
    </row>
    <row r="13" spans="1:12" x14ac:dyDescent="0.25">
      <c r="A13" s="10"/>
      <c r="B13" s="11"/>
      <c r="C13" s="11"/>
      <c r="D13" s="12"/>
      <c r="E13" s="13"/>
      <c r="F13" s="11"/>
      <c r="G13" s="89"/>
      <c r="H13" s="43"/>
      <c r="I13" s="48"/>
      <c r="J13">
        <f t="shared" si="0"/>
        <v>0</v>
      </c>
      <c r="L13" s="1"/>
    </row>
    <row r="14" spans="1:12" s="1" customFormat="1" x14ac:dyDescent="0.25">
      <c r="A14" s="10"/>
      <c r="B14" s="11"/>
      <c r="C14" s="11"/>
      <c r="D14" s="12"/>
      <c r="E14" s="13"/>
      <c r="F14" s="11"/>
      <c r="G14" s="93"/>
      <c r="H14" s="43"/>
      <c r="I14" s="48"/>
      <c r="J14" s="1">
        <f t="shared" si="0"/>
        <v>0</v>
      </c>
    </row>
    <row r="15" spans="1:12" x14ac:dyDescent="0.25">
      <c r="A15" s="10"/>
      <c r="B15" s="11"/>
      <c r="C15" s="11"/>
      <c r="D15" s="12"/>
      <c r="E15" s="13"/>
      <c r="F15" s="11"/>
      <c r="G15" s="91"/>
      <c r="H15" s="43"/>
      <c r="I15" s="48"/>
      <c r="J15" s="1">
        <f t="shared" si="0"/>
        <v>0</v>
      </c>
      <c r="K15" s="1"/>
      <c r="L15" s="1"/>
    </row>
    <row r="16" spans="1:12" x14ac:dyDescent="0.25">
      <c r="A16" s="10"/>
      <c r="B16" s="11"/>
      <c r="C16" s="11"/>
      <c r="D16" s="12"/>
      <c r="E16" s="13"/>
      <c r="F16" s="11"/>
      <c r="G16" s="89"/>
      <c r="H16" s="43"/>
      <c r="I16" s="48"/>
      <c r="J16" s="1">
        <f t="shared" si="0"/>
        <v>0</v>
      </c>
      <c r="L16" s="1"/>
    </row>
    <row r="17" spans="1:12" x14ac:dyDescent="0.25">
      <c r="A17" s="10"/>
      <c r="B17" s="11"/>
      <c r="C17" s="11"/>
      <c r="D17" s="12"/>
      <c r="E17" s="13"/>
      <c r="F17" s="11"/>
      <c r="G17" s="89"/>
      <c r="H17" s="43"/>
      <c r="I17" s="48"/>
      <c r="J17">
        <f t="shared" si="0"/>
        <v>0</v>
      </c>
      <c r="L17" s="1"/>
    </row>
    <row r="18" spans="1:12" x14ac:dyDescent="0.25">
      <c r="A18" s="10"/>
      <c r="B18" s="11"/>
      <c r="C18" s="11"/>
      <c r="D18" s="12"/>
      <c r="E18" s="13"/>
      <c r="F18" s="11"/>
      <c r="G18" s="94"/>
      <c r="H18" s="43"/>
      <c r="I18" s="48"/>
      <c r="J18">
        <f t="shared" si="0"/>
        <v>0</v>
      </c>
      <c r="L18" s="1"/>
    </row>
    <row r="19" spans="1:12" x14ac:dyDescent="0.25">
      <c r="A19" s="10"/>
      <c r="B19" s="11"/>
      <c r="C19" s="11"/>
      <c r="D19" s="12"/>
      <c r="E19" s="13"/>
      <c r="F19" s="11"/>
      <c r="G19" s="89"/>
      <c r="H19" s="43"/>
      <c r="I19" s="48"/>
      <c r="J19">
        <f t="shared" si="0"/>
        <v>0</v>
      </c>
    </row>
    <row r="20" spans="1:12" x14ac:dyDescent="0.25">
      <c r="A20" s="10"/>
      <c r="B20" s="11"/>
      <c r="C20" s="11"/>
      <c r="D20" s="12"/>
      <c r="E20" s="13"/>
      <c r="F20" s="11"/>
      <c r="G20" s="89"/>
      <c r="H20" s="43"/>
      <c r="I20" s="48"/>
      <c r="J20">
        <f t="shared" si="0"/>
        <v>0</v>
      </c>
    </row>
    <row r="21" spans="1:12" x14ac:dyDescent="0.25">
      <c r="A21" s="10"/>
      <c r="B21" s="11"/>
      <c r="C21" s="11"/>
      <c r="D21" s="12"/>
      <c r="E21" s="13"/>
      <c r="F21" s="11"/>
      <c r="G21" s="91"/>
      <c r="H21" s="43"/>
      <c r="I21" s="48"/>
      <c r="J21" s="1">
        <f t="shared" si="0"/>
        <v>0</v>
      </c>
    </row>
    <row r="22" spans="1:12" s="1" customFormat="1" x14ac:dyDescent="0.25">
      <c r="A22" s="10"/>
      <c r="B22" s="11"/>
      <c r="C22" s="11"/>
      <c r="D22" s="12"/>
      <c r="E22" s="13"/>
      <c r="F22" s="11"/>
      <c r="G22" s="92"/>
      <c r="H22" s="43"/>
      <c r="I22" s="48"/>
      <c r="J22" s="1">
        <f t="shared" si="0"/>
        <v>0</v>
      </c>
    </row>
    <row r="23" spans="1:12" x14ac:dyDescent="0.25">
      <c r="A23" s="10"/>
      <c r="B23" s="11"/>
      <c r="C23" s="11"/>
      <c r="D23" s="12"/>
      <c r="E23" s="13"/>
      <c r="F23" s="11"/>
      <c r="G23" s="91"/>
      <c r="H23" s="43"/>
      <c r="I23" s="48"/>
      <c r="J23">
        <f t="shared" si="0"/>
        <v>0</v>
      </c>
    </row>
    <row r="24" spans="1:12" x14ac:dyDescent="0.25">
      <c r="A24" s="10"/>
      <c r="B24" s="11"/>
      <c r="C24" s="11"/>
      <c r="D24" s="12"/>
      <c r="E24" s="13"/>
      <c r="F24" s="11"/>
      <c r="G24" s="91"/>
      <c r="H24" s="43"/>
      <c r="I24" s="48"/>
      <c r="J24">
        <f t="shared" si="0"/>
        <v>0</v>
      </c>
    </row>
    <row r="25" spans="1:12" s="1" customFormat="1" x14ac:dyDescent="0.25">
      <c r="A25" s="10"/>
      <c r="B25" s="11"/>
      <c r="C25" s="11"/>
      <c r="D25" s="12"/>
      <c r="E25" s="13"/>
      <c r="F25" s="11"/>
      <c r="G25" s="95"/>
      <c r="H25" s="43"/>
      <c r="I25" s="48"/>
      <c r="J25" s="1">
        <f t="shared" si="0"/>
        <v>0</v>
      </c>
    </row>
    <row r="26" spans="1:12" s="1" customFormat="1" x14ac:dyDescent="0.25">
      <c r="A26" s="10"/>
      <c r="B26" s="11"/>
      <c r="C26" s="11"/>
      <c r="D26" s="12"/>
      <c r="E26" s="13"/>
      <c r="F26" s="11"/>
      <c r="G26" s="91"/>
      <c r="H26" s="43"/>
      <c r="I26" s="48"/>
      <c r="J26" s="1">
        <f t="shared" si="0"/>
        <v>0</v>
      </c>
    </row>
    <row r="27" spans="1:12" s="1" customFormat="1" x14ac:dyDescent="0.25">
      <c r="A27" s="10"/>
      <c r="B27" s="11"/>
      <c r="C27" s="11"/>
      <c r="D27" s="12"/>
      <c r="E27" s="13"/>
      <c r="F27" s="11"/>
      <c r="G27" s="91"/>
      <c r="H27" s="43"/>
      <c r="I27" s="48"/>
      <c r="J27" s="1">
        <f t="shared" si="0"/>
        <v>0</v>
      </c>
    </row>
    <row r="28" spans="1:12" s="1" customFormat="1" x14ac:dyDescent="0.25">
      <c r="A28" s="10"/>
      <c r="B28" s="11"/>
      <c r="C28" s="11"/>
      <c r="D28" s="12"/>
      <c r="E28" s="13"/>
      <c r="F28" s="11"/>
      <c r="G28" s="91"/>
      <c r="H28" s="43"/>
      <c r="I28" s="48"/>
      <c r="J28" s="1">
        <f t="shared" si="0"/>
        <v>0</v>
      </c>
    </row>
    <row r="29" spans="1:12" s="1" customFormat="1" x14ac:dyDescent="0.25">
      <c r="A29" s="10"/>
      <c r="B29" s="11"/>
      <c r="C29" s="11"/>
      <c r="D29" s="12"/>
      <c r="E29" s="13"/>
      <c r="F29" s="11"/>
      <c r="G29" s="9"/>
      <c r="H29" s="43"/>
      <c r="I29" s="48"/>
      <c r="J29" s="1">
        <f t="shared" si="0"/>
        <v>0</v>
      </c>
    </row>
    <row r="30" spans="1:12" s="1" customFormat="1" x14ac:dyDescent="0.25">
      <c r="A30" s="10"/>
      <c r="B30" s="11"/>
      <c r="C30" s="11"/>
      <c r="D30" s="12"/>
      <c r="E30" s="13"/>
      <c r="F30" s="11"/>
      <c r="G30" s="9"/>
      <c r="H30" s="43"/>
      <c r="I30" s="48"/>
      <c r="J30" s="1">
        <f t="shared" si="0"/>
        <v>0</v>
      </c>
    </row>
    <row r="31" spans="1:12" s="1" customFormat="1" x14ac:dyDescent="0.25">
      <c r="A31" s="10"/>
      <c r="B31" s="11"/>
      <c r="C31" s="11"/>
      <c r="D31" s="12"/>
      <c r="E31" s="13"/>
      <c r="F31" s="11"/>
      <c r="G31" s="91"/>
      <c r="H31" s="43"/>
      <c r="I31" s="48"/>
      <c r="J31" s="1">
        <f t="shared" si="0"/>
        <v>0</v>
      </c>
    </row>
    <row r="32" spans="1:12" s="1" customFormat="1" x14ac:dyDescent="0.25">
      <c r="A32" s="10"/>
      <c r="B32" s="11"/>
      <c r="C32" s="11"/>
      <c r="D32" s="12"/>
      <c r="E32" s="13"/>
      <c r="F32" s="11"/>
      <c r="G32" s="53"/>
      <c r="H32" s="43"/>
      <c r="I32" s="48"/>
      <c r="J32" s="1">
        <f t="shared" si="0"/>
        <v>0</v>
      </c>
    </row>
    <row r="33" spans="1:10" s="1" customFormat="1" x14ac:dyDescent="0.25">
      <c r="A33" s="10"/>
      <c r="B33" s="11"/>
      <c r="C33" s="11"/>
      <c r="D33" s="12"/>
      <c r="E33" s="13"/>
      <c r="F33" s="11"/>
      <c r="G33" s="95"/>
      <c r="H33" s="43"/>
      <c r="I33" s="48"/>
      <c r="J33" s="1">
        <f t="shared" si="0"/>
        <v>0</v>
      </c>
    </row>
    <row r="34" spans="1:10" s="1" customFormat="1" x14ac:dyDescent="0.25">
      <c r="A34" s="10"/>
      <c r="B34" s="11"/>
      <c r="C34" s="11"/>
      <c r="D34" s="12"/>
      <c r="E34" s="13"/>
      <c r="F34" s="11"/>
      <c r="G34" s="91"/>
      <c r="H34" s="43"/>
      <c r="I34" s="48"/>
      <c r="J34" s="1">
        <f t="shared" si="0"/>
        <v>0</v>
      </c>
    </row>
    <row r="35" spans="1:10" s="1" customFormat="1" x14ac:dyDescent="0.25">
      <c r="A35" s="10"/>
      <c r="B35" s="11"/>
      <c r="C35" s="11"/>
      <c r="D35" s="12"/>
      <c r="E35" s="13"/>
      <c r="F35" s="11"/>
      <c r="G35" s="91"/>
      <c r="H35" s="43"/>
      <c r="I35" s="48"/>
      <c r="J35" s="1">
        <f t="shared" si="0"/>
        <v>0</v>
      </c>
    </row>
    <row r="36" spans="1:10" s="1" customFormat="1" x14ac:dyDescent="0.25">
      <c r="A36" s="10"/>
      <c r="B36" s="11"/>
      <c r="C36" s="11"/>
      <c r="D36" s="12"/>
      <c r="E36" s="13"/>
      <c r="F36" s="11"/>
      <c r="G36" s="92"/>
      <c r="H36" s="43"/>
      <c r="I36" s="48"/>
      <c r="J36" s="1">
        <f t="shared" ref="J36:J61" si="1">H36*I36</f>
        <v>0</v>
      </c>
    </row>
    <row r="37" spans="1:10" s="1" customFormat="1" x14ac:dyDescent="0.25">
      <c r="A37" s="10"/>
      <c r="B37" s="11"/>
      <c r="C37" s="11"/>
      <c r="D37" s="12"/>
      <c r="E37" s="13"/>
      <c r="F37" s="11"/>
      <c r="G37" s="91"/>
      <c r="H37" s="43"/>
      <c r="I37" s="48"/>
      <c r="J37" s="1">
        <f t="shared" si="1"/>
        <v>0</v>
      </c>
    </row>
    <row r="38" spans="1:10" s="1" customFormat="1" x14ac:dyDescent="0.25">
      <c r="A38" s="10"/>
      <c r="B38" s="11"/>
      <c r="C38" s="11"/>
      <c r="D38" s="12"/>
      <c r="E38" s="13"/>
      <c r="F38" s="11"/>
      <c r="G38" s="9"/>
      <c r="H38" s="43"/>
      <c r="I38" s="48"/>
      <c r="J38" s="1">
        <f t="shared" si="1"/>
        <v>0</v>
      </c>
    </row>
    <row r="39" spans="1:10" s="1" customFormat="1" x14ac:dyDescent="0.25">
      <c r="A39" s="10"/>
      <c r="B39" s="11"/>
      <c r="C39" s="11"/>
      <c r="D39" s="12"/>
      <c r="E39" s="13"/>
      <c r="F39" s="11"/>
      <c r="G39" s="9"/>
      <c r="H39" s="43"/>
      <c r="I39" s="48"/>
      <c r="J39" s="1">
        <f t="shared" si="1"/>
        <v>0</v>
      </c>
    </row>
    <row r="40" spans="1:10" s="1" customFormat="1" x14ac:dyDescent="0.25">
      <c r="A40" s="10"/>
      <c r="B40" s="11"/>
      <c r="C40" s="11"/>
      <c r="D40" s="12"/>
      <c r="E40" s="13"/>
      <c r="F40" s="11"/>
      <c r="G40" s="91"/>
      <c r="H40" s="43"/>
      <c r="I40" s="48"/>
      <c r="J40" s="1">
        <f t="shared" si="1"/>
        <v>0</v>
      </c>
    </row>
    <row r="41" spans="1:10" s="1" customFormat="1" x14ac:dyDescent="0.25">
      <c r="A41" s="10"/>
      <c r="B41" s="11"/>
      <c r="C41" s="11"/>
      <c r="D41" s="12"/>
      <c r="E41" s="13"/>
      <c r="F41" s="11"/>
      <c r="G41" s="95"/>
      <c r="H41" s="43"/>
      <c r="I41" s="48"/>
      <c r="J41" s="1">
        <f t="shared" si="1"/>
        <v>0</v>
      </c>
    </row>
    <row r="42" spans="1:10" s="1" customFormat="1" x14ac:dyDescent="0.25">
      <c r="A42" s="10"/>
      <c r="B42" s="11"/>
      <c r="C42" s="11"/>
      <c r="D42" s="12"/>
      <c r="E42" s="13"/>
      <c r="F42" s="11"/>
      <c r="G42" s="91"/>
      <c r="H42" s="43"/>
      <c r="I42" s="48"/>
      <c r="J42" s="1">
        <f t="shared" si="1"/>
        <v>0</v>
      </c>
    </row>
    <row r="43" spans="1:10" s="1" customFormat="1" x14ac:dyDescent="0.25">
      <c r="A43" s="10"/>
      <c r="B43" s="11"/>
      <c r="C43" s="11"/>
      <c r="D43" s="12"/>
      <c r="E43" s="13"/>
      <c r="F43" s="11"/>
      <c r="G43" s="92"/>
      <c r="H43" s="43"/>
      <c r="I43" s="48"/>
      <c r="J43" s="1">
        <f t="shared" si="1"/>
        <v>0</v>
      </c>
    </row>
    <row r="44" spans="1:10" s="1" customFormat="1" x14ac:dyDescent="0.25">
      <c r="A44" s="10"/>
      <c r="B44" s="11"/>
      <c r="C44" s="11"/>
      <c r="D44" s="12"/>
      <c r="E44" s="13"/>
      <c r="F44" s="11"/>
      <c r="G44" s="91"/>
      <c r="H44" s="43"/>
      <c r="I44" s="48"/>
      <c r="J44" s="1">
        <f t="shared" si="1"/>
        <v>0</v>
      </c>
    </row>
    <row r="45" spans="1:10" s="1" customFormat="1" x14ac:dyDescent="0.25">
      <c r="A45" s="10"/>
      <c r="B45" s="11"/>
      <c r="C45" s="11"/>
      <c r="D45" s="12"/>
      <c r="E45" s="13"/>
      <c r="F45" s="11"/>
      <c r="G45" s="91"/>
      <c r="H45" s="43"/>
      <c r="I45" s="48"/>
      <c r="J45" s="1">
        <f t="shared" si="1"/>
        <v>0</v>
      </c>
    </row>
    <row r="46" spans="1:10" s="1" customFormat="1" x14ac:dyDescent="0.25">
      <c r="A46" s="10"/>
      <c r="B46" s="11"/>
      <c r="C46" s="11"/>
      <c r="D46" s="12"/>
      <c r="E46" s="13"/>
      <c r="F46" s="11"/>
      <c r="G46" s="95"/>
      <c r="H46" s="43"/>
      <c r="I46" s="48"/>
      <c r="J46" s="1">
        <f t="shared" si="1"/>
        <v>0</v>
      </c>
    </row>
    <row r="47" spans="1:10" s="1" customFormat="1" x14ac:dyDescent="0.25">
      <c r="A47" s="10"/>
      <c r="B47" s="11"/>
      <c r="C47" s="11"/>
      <c r="D47" s="12"/>
      <c r="E47" s="13"/>
      <c r="F47" s="11"/>
      <c r="G47" s="91"/>
      <c r="H47" s="43"/>
      <c r="I47" s="48"/>
      <c r="J47" s="1">
        <f t="shared" si="1"/>
        <v>0</v>
      </c>
    </row>
    <row r="48" spans="1:10" s="1" customFormat="1" x14ac:dyDescent="0.25">
      <c r="A48" s="10"/>
      <c r="B48" s="11"/>
      <c r="C48" s="11"/>
      <c r="D48" s="12"/>
      <c r="E48" s="13"/>
      <c r="F48" s="11"/>
      <c r="G48" s="91"/>
      <c r="H48" s="43"/>
      <c r="I48" s="48"/>
      <c r="J48" s="1">
        <f t="shared" si="1"/>
        <v>0</v>
      </c>
    </row>
    <row r="49" spans="1:11" s="32" customFormat="1" x14ac:dyDescent="0.25">
      <c r="A49" s="10"/>
      <c r="B49" s="11"/>
      <c r="C49" s="11"/>
      <c r="D49" s="12"/>
      <c r="E49" s="13"/>
      <c r="F49" s="11"/>
      <c r="G49" s="95"/>
      <c r="H49" s="43"/>
      <c r="I49" s="48"/>
      <c r="J49" s="32">
        <f t="shared" si="1"/>
        <v>0</v>
      </c>
    </row>
    <row r="50" spans="1:11" s="32" customFormat="1" x14ac:dyDescent="0.25">
      <c r="A50" s="10"/>
      <c r="B50" s="11"/>
      <c r="C50" s="11"/>
      <c r="D50" s="12"/>
      <c r="E50" s="13"/>
      <c r="F50" s="11"/>
      <c r="G50" s="96"/>
      <c r="H50" s="43"/>
      <c r="I50" s="48"/>
      <c r="J50" s="32">
        <f t="shared" si="1"/>
        <v>0</v>
      </c>
      <c r="K50" s="58"/>
    </row>
    <row r="51" spans="1:11" s="32" customFormat="1" x14ac:dyDescent="0.25">
      <c r="A51" s="10"/>
      <c r="B51" s="11"/>
      <c r="C51" s="11"/>
      <c r="D51" s="12"/>
      <c r="E51" s="13"/>
      <c r="F51" s="11"/>
      <c r="G51" s="91"/>
      <c r="H51" s="43"/>
      <c r="I51" s="48"/>
      <c r="J51" s="32">
        <f t="shared" si="1"/>
        <v>0</v>
      </c>
      <c r="K51" s="58"/>
    </row>
    <row r="52" spans="1:11" s="32" customFormat="1" x14ac:dyDescent="0.25">
      <c r="A52" s="10"/>
      <c r="B52" s="11"/>
      <c r="C52" s="11"/>
      <c r="D52" s="12"/>
      <c r="E52" s="13"/>
      <c r="F52" s="11"/>
      <c r="G52" s="95"/>
      <c r="H52" s="43"/>
      <c r="I52" s="48"/>
      <c r="J52" s="32">
        <f t="shared" si="1"/>
        <v>0</v>
      </c>
      <c r="K52" s="59"/>
    </row>
    <row r="53" spans="1:11" s="1" customFormat="1" x14ac:dyDescent="0.25">
      <c r="A53" s="10"/>
      <c r="B53" s="11"/>
      <c r="C53" s="11"/>
      <c r="D53" s="12"/>
      <c r="E53" s="13"/>
      <c r="F53" s="11"/>
      <c r="G53" s="93"/>
      <c r="H53" s="43"/>
      <c r="I53" s="48"/>
      <c r="J53" s="1">
        <f t="shared" si="1"/>
        <v>0</v>
      </c>
    </row>
    <row r="54" spans="1:11" s="1" customFormat="1" x14ac:dyDescent="0.25">
      <c r="A54" s="10"/>
      <c r="B54" s="11"/>
      <c r="C54" s="11"/>
      <c r="D54" s="12"/>
      <c r="E54" s="13"/>
      <c r="F54" s="11"/>
      <c r="G54" s="91"/>
      <c r="H54" s="43"/>
      <c r="I54" s="48"/>
      <c r="J54" s="1">
        <f t="shared" si="1"/>
        <v>0</v>
      </c>
    </row>
    <row r="55" spans="1:11" s="1" customFormat="1" x14ac:dyDescent="0.25">
      <c r="A55" s="10"/>
      <c r="B55" s="11"/>
      <c r="C55" s="11"/>
      <c r="D55" s="12"/>
      <c r="E55" s="13"/>
      <c r="F55" s="11"/>
      <c r="G55" s="91"/>
      <c r="H55" s="43"/>
      <c r="I55" s="48"/>
      <c r="J55" s="1">
        <f t="shared" si="1"/>
        <v>0</v>
      </c>
    </row>
    <row r="56" spans="1:11" s="1" customFormat="1" x14ac:dyDescent="0.25">
      <c r="A56" s="10"/>
      <c r="B56" s="11"/>
      <c r="C56" s="11"/>
      <c r="D56" s="12"/>
      <c r="E56" s="13"/>
      <c r="F56" s="11"/>
      <c r="G56" s="91"/>
      <c r="H56" s="43"/>
      <c r="I56" s="48"/>
      <c r="J56" s="1">
        <f t="shared" si="1"/>
        <v>0</v>
      </c>
    </row>
    <row r="57" spans="1:11" s="1" customFormat="1" x14ac:dyDescent="0.25">
      <c r="A57" s="10"/>
      <c r="B57" s="11"/>
      <c r="C57" s="11"/>
      <c r="D57" s="12"/>
      <c r="E57" s="13"/>
      <c r="F57" s="11"/>
      <c r="G57" s="9"/>
      <c r="H57" s="43"/>
      <c r="I57" s="48"/>
      <c r="J57" s="1">
        <f t="shared" si="1"/>
        <v>0</v>
      </c>
    </row>
    <row r="58" spans="1:11" s="1" customFormat="1" x14ac:dyDescent="0.25">
      <c r="A58" s="10"/>
      <c r="B58" s="11"/>
      <c r="C58" s="11"/>
      <c r="D58" s="12"/>
      <c r="E58" s="13"/>
      <c r="F58" s="11"/>
      <c r="G58" s="91"/>
      <c r="H58" s="43"/>
      <c r="I58" s="48"/>
      <c r="J58" s="1">
        <f t="shared" si="1"/>
        <v>0</v>
      </c>
    </row>
    <row r="59" spans="1:11" s="1" customFormat="1" x14ac:dyDescent="0.25">
      <c r="A59" s="10"/>
      <c r="B59" s="11"/>
      <c r="C59" s="11"/>
      <c r="D59" s="12"/>
      <c r="E59" s="13"/>
      <c r="F59" s="11"/>
      <c r="G59" s="89"/>
      <c r="H59" s="43"/>
      <c r="I59" s="48"/>
      <c r="J59" s="1">
        <f t="shared" si="1"/>
        <v>0</v>
      </c>
    </row>
    <row r="60" spans="1:11" s="1" customFormat="1" x14ac:dyDescent="0.25">
      <c r="A60" s="10"/>
      <c r="B60" s="11"/>
      <c r="C60" s="11"/>
      <c r="D60" s="12"/>
      <c r="E60" s="13"/>
      <c r="F60" s="11"/>
      <c r="G60" s="89"/>
      <c r="H60" s="43"/>
      <c r="I60" s="48"/>
      <c r="J60" s="1">
        <f t="shared" si="1"/>
        <v>0</v>
      </c>
    </row>
    <row r="61" spans="1:11" x14ac:dyDescent="0.25">
      <c r="A61" s="49" t="s">
        <v>36</v>
      </c>
      <c r="B61" s="50"/>
      <c r="C61" s="50"/>
      <c r="D61" s="50"/>
      <c r="E61" s="52">
        <f>SUBTOTAL(109,E4:E60)</f>
        <v>0</v>
      </c>
      <c r="F61" s="50"/>
      <c r="G61" s="54"/>
      <c r="H61" s="55">
        <f>IF(Deltagere!A$32=G61,22,0)</f>
        <v>0</v>
      </c>
      <c r="I61" s="85">
        <f>SUM(I4:I7)+SUM(I9:I28)+SUM(I33:I37)+I33+I31+SUM(I40:I56)+I58+I59+I60</f>
        <v>0</v>
      </c>
      <c r="J61">
        <f t="shared" si="1"/>
        <v>0</v>
      </c>
    </row>
  </sheetData>
  <mergeCells count="2">
    <mergeCell ref="A1:I1"/>
    <mergeCell ref="A2:I2"/>
  </mergeCells>
  <pageMargins left="0.7" right="0.7" top="0.75" bottom="0.75" header="0.3" footer="0.3"/>
  <pageSetup paperSize="9" orientation="portrait" horizontalDpi="4294967293" verticalDpi="0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tabColor theme="3" tint="0.39997558519241921"/>
  </sheetPr>
  <dimension ref="A1:O33"/>
  <sheetViews>
    <sheetView tabSelected="1" zoomScale="80" zoomScaleNormal="80" workbookViewId="0">
      <selection activeCell="H2" sqref="H2"/>
    </sheetView>
  </sheetViews>
  <sheetFormatPr defaultRowHeight="15" x14ac:dyDescent="0.25"/>
  <cols>
    <col min="1" max="1" width="23.140625" customWidth="1"/>
    <col min="2" max="2" width="16.85546875" customWidth="1"/>
    <col min="4" max="4" width="13.5703125" customWidth="1"/>
    <col min="5" max="11" width="11.7109375" customWidth="1"/>
    <col min="12" max="12" width="2.7109375" style="1" customWidth="1"/>
    <col min="13" max="13" width="10.28515625" customWidth="1"/>
    <col min="14" max="14" width="13.5703125" customWidth="1"/>
    <col min="15" max="15" width="14.42578125" customWidth="1"/>
    <col min="16" max="16" width="9.140625" customWidth="1"/>
  </cols>
  <sheetData>
    <row r="1" spans="1:15" ht="29.25" customHeight="1" x14ac:dyDescent="0.25">
      <c r="C1" s="15"/>
      <c r="D1" s="163" t="s">
        <v>38</v>
      </c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</row>
    <row r="2" spans="1:15" ht="15" customHeight="1" x14ac:dyDescent="0.25">
      <c r="A2" s="168" t="s">
        <v>54</v>
      </c>
      <c r="B2" s="169"/>
      <c r="D2" s="28" t="s">
        <v>46</v>
      </c>
      <c r="E2" s="27" t="s">
        <v>39</v>
      </c>
      <c r="F2" s="27" t="s">
        <v>40</v>
      </c>
      <c r="G2" s="27" t="s">
        <v>41</v>
      </c>
      <c r="H2" s="27" t="s">
        <v>42</v>
      </c>
      <c r="I2" s="27" t="s">
        <v>43</v>
      </c>
      <c r="J2" s="27" t="s">
        <v>44</v>
      </c>
      <c r="K2" s="27" t="s">
        <v>45</v>
      </c>
      <c r="L2" s="33"/>
      <c r="M2" s="166" t="s">
        <v>47</v>
      </c>
      <c r="N2" s="164" t="s">
        <v>48</v>
      </c>
      <c r="O2" s="162" t="s">
        <v>60</v>
      </c>
    </row>
    <row r="3" spans="1:15" s="1" customFormat="1" x14ac:dyDescent="0.25">
      <c r="A3" s="170">
        <f>SUMIF(PreRustur!C4:C59,"Alkohol forberedelsestur*",PreRustur!E4:E59)</f>
        <v>0</v>
      </c>
      <c r="B3" s="170"/>
      <c r="D3" s="29"/>
      <c r="E3" s="26">
        <v>41862</v>
      </c>
      <c r="F3" s="26">
        <v>41863</v>
      </c>
      <c r="G3" s="26">
        <v>41864</v>
      </c>
      <c r="H3" s="26">
        <v>41865</v>
      </c>
      <c r="I3" s="26">
        <v>41866</v>
      </c>
      <c r="J3" s="26">
        <v>41867</v>
      </c>
      <c r="K3" s="26">
        <v>41868</v>
      </c>
      <c r="L3" s="34"/>
      <c r="M3" s="167"/>
      <c r="N3" s="165"/>
      <c r="O3" s="162"/>
    </row>
    <row r="4" spans="1:15" x14ac:dyDescent="0.25">
      <c r="A4" s="168" t="s">
        <v>58</v>
      </c>
      <c r="B4" s="169"/>
      <c r="D4" s="16" t="s">
        <v>2</v>
      </c>
      <c r="E4" s="18">
        <v>0</v>
      </c>
      <c r="F4" s="18">
        <v>1</v>
      </c>
      <c r="G4" s="18">
        <v>1</v>
      </c>
      <c r="H4" s="18">
        <v>1</v>
      </c>
      <c r="I4" s="18">
        <v>1</v>
      </c>
      <c r="J4" s="18">
        <v>1</v>
      </c>
      <c r="K4" s="18">
        <v>1</v>
      </c>
      <c r="L4" s="35"/>
      <c r="M4" s="17">
        <v>0</v>
      </c>
      <c r="N4" s="18">
        <f t="shared" ref="N4:N7" si="0">SUM(E4:K4)-M4</f>
        <v>6</v>
      </c>
      <c r="O4" s="25">
        <f>(A$3/B$6)*N4+(A$5/B$7)*SUM(E4:K4)</f>
        <v>0</v>
      </c>
    </row>
    <row r="5" spans="1:15" x14ac:dyDescent="0.25">
      <c r="A5" s="173">
        <f>SUMIF(PreRustur!C4:C59,"Slik/sodavand forberedelsestur",PreRustur!E4:E59)</f>
        <v>0</v>
      </c>
      <c r="B5" s="174"/>
      <c r="D5" s="16" t="s">
        <v>5</v>
      </c>
      <c r="E5" s="18">
        <v>1</v>
      </c>
      <c r="F5" s="18">
        <v>1</v>
      </c>
      <c r="G5" s="18">
        <v>1</v>
      </c>
      <c r="H5" s="18">
        <v>1</v>
      </c>
      <c r="I5" s="18">
        <v>1</v>
      </c>
      <c r="J5" s="18">
        <v>1</v>
      </c>
      <c r="K5" s="18">
        <v>1</v>
      </c>
      <c r="L5" s="35"/>
      <c r="M5" s="18">
        <v>4</v>
      </c>
      <c r="N5" s="18">
        <f t="shared" si="0"/>
        <v>3</v>
      </c>
      <c r="O5" s="25">
        <f t="shared" ref="O5:O23" si="1">(A$3/B$6)*N5+(A$5/B$7)*SUM(E5:K5)</f>
        <v>0</v>
      </c>
    </row>
    <row r="6" spans="1:15" x14ac:dyDescent="0.25">
      <c r="A6" s="79" t="s">
        <v>55</v>
      </c>
      <c r="B6" s="31">
        <f>SUM(N4:N25)</f>
        <v>98</v>
      </c>
      <c r="D6" s="16" t="s">
        <v>6</v>
      </c>
      <c r="E6" s="18">
        <v>0</v>
      </c>
      <c r="F6" s="18">
        <v>1</v>
      </c>
      <c r="G6" s="18">
        <v>1</v>
      </c>
      <c r="H6" s="18">
        <v>1</v>
      </c>
      <c r="I6" s="18">
        <v>0</v>
      </c>
      <c r="J6" s="18">
        <v>0</v>
      </c>
      <c r="K6" s="18">
        <v>0</v>
      </c>
      <c r="L6" s="35"/>
      <c r="M6" s="18">
        <v>1</v>
      </c>
      <c r="N6" s="18">
        <f t="shared" si="0"/>
        <v>2</v>
      </c>
      <c r="O6" s="25">
        <f t="shared" si="1"/>
        <v>0</v>
      </c>
    </row>
    <row r="7" spans="1:15" x14ac:dyDescent="0.25">
      <c r="A7" s="79" t="s">
        <v>59</v>
      </c>
      <c r="B7" s="31">
        <f>SUM(E4:K25)</f>
        <v>120</v>
      </c>
      <c r="D7" s="16" t="s">
        <v>7</v>
      </c>
      <c r="E7" s="18">
        <v>1</v>
      </c>
      <c r="F7" s="18">
        <v>1</v>
      </c>
      <c r="G7" s="18">
        <v>1</v>
      </c>
      <c r="H7" s="18">
        <v>1</v>
      </c>
      <c r="I7" s="18">
        <v>1</v>
      </c>
      <c r="J7" s="18">
        <v>1</v>
      </c>
      <c r="K7" s="18">
        <v>0</v>
      </c>
      <c r="L7" s="35"/>
      <c r="M7" s="18">
        <v>0</v>
      </c>
      <c r="N7" s="18">
        <f t="shared" si="0"/>
        <v>6</v>
      </c>
      <c r="O7" s="25">
        <f t="shared" si="1"/>
        <v>0</v>
      </c>
    </row>
    <row r="8" spans="1:15" x14ac:dyDescent="0.25">
      <c r="A8" s="78" t="s">
        <v>56</v>
      </c>
      <c r="B8" s="30">
        <f>(A3+A5)/A33</f>
        <v>0</v>
      </c>
      <c r="D8" s="16" t="s">
        <v>8</v>
      </c>
      <c r="E8" s="18">
        <v>1</v>
      </c>
      <c r="F8" s="18">
        <v>1</v>
      </c>
      <c r="G8" s="18">
        <v>1</v>
      </c>
      <c r="H8" s="18">
        <v>1</v>
      </c>
      <c r="I8" s="18">
        <v>1</v>
      </c>
      <c r="J8" s="18">
        <v>1</v>
      </c>
      <c r="K8" s="18">
        <v>1</v>
      </c>
      <c r="L8" s="35"/>
      <c r="M8" s="18">
        <v>1</v>
      </c>
      <c r="N8" s="18">
        <f>SUM(E8:K8)-M8</f>
        <v>6</v>
      </c>
      <c r="O8" s="25">
        <f t="shared" si="1"/>
        <v>0</v>
      </c>
    </row>
    <row r="9" spans="1:15" x14ac:dyDescent="0.25">
      <c r="A9" s="168" t="s">
        <v>57</v>
      </c>
      <c r="B9" s="169"/>
      <c r="D9" s="16" t="s">
        <v>9</v>
      </c>
      <c r="E9" s="18">
        <v>1</v>
      </c>
      <c r="F9" s="18">
        <v>1</v>
      </c>
      <c r="G9" s="18">
        <v>1</v>
      </c>
      <c r="H9" s="18">
        <v>1</v>
      </c>
      <c r="I9" s="18">
        <v>1</v>
      </c>
      <c r="J9" s="18">
        <v>1</v>
      </c>
      <c r="K9" s="18">
        <v>1</v>
      </c>
      <c r="L9" s="35"/>
      <c r="M9" s="18">
        <v>1</v>
      </c>
      <c r="N9" s="18">
        <f t="shared" ref="N9:N23" si="2">SUM(E9:K9)-M9</f>
        <v>6</v>
      </c>
      <c r="O9" s="25">
        <f t="shared" si="1"/>
        <v>0</v>
      </c>
    </row>
    <row r="10" spans="1:15" x14ac:dyDescent="0.25">
      <c r="A10" s="175">
        <f>SUM(A3+A5)</f>
        <v>0</v>
      </c>
      <c r="B10" s="176"/>
      <c r="D10" s="16" t="s">
        <v>16</v>
      </c>
      <c r="E10" s="18">
        <v>1</v>
      </c>
      <c r="F10" s="18">
        <v>1</v>
      </c>
      <c r="G10" s="18">
        <v>1</v>
      </c>
      <c r="H10" s="18">
        <v>1</v>
      </c>
      <c r="I10" s="18">
        <v>1</v>
      </c>
      <c r="J10" s="18">
        <v>1</v>
      </c>
      <c r="K10" s="18">
        <v>1</v>
      </c>
      <c r="L10" s="35"/>
      <c r="M10" s="18">
        <v>0</v>
      </c>
      <c r="N10" s="18">
        <f t="shared" si="2"/>
        <v>7</v>
      </c>
      <c r="O10" s="25">
        <f t="shared" si="1"/>
        <v>0</v>
      </c>
    </row>
    <row r="11" spans="1:15" x14ac:dyDescent="0.25">
      <c r="D11" s="16" t="s">
        <v>17</v>
      </c>
      <c r="E11" s="18">
        <v>1</v>
      </c>
      <c r="F11" s="18">
        <v>1</v>
      </c>
      <c r="G11" s="18">
        <v>1</v>
      </c>
      <c r="H11" s="18">
        <v>1</v>
      </c>
      <c r="I11" s="18">
        <v>1</v>
      </c>
      <c r="J11" s="18">
        <v>1</v>
      </c>
      <c r="K11" s="18">
        <v>1</v>
      </c>
      <c r="L11" s="35"/>
      <c r="M11" s="18">
        <v>7</v>
      </c>
      <c r="N11" s="18">
        <f t="shared" si="2"/>
        <v>0</v>
      </c>
      <c r="O11" s="25">
        <f t="shared" si="1"/>
        <v>0</v>
      </c>
    </row>
    <row r="12" spans="1:15" x14ac:dyDescent="0.25">
      <c r="A12" s="14" t="s">
        <v>0</v>
      </c>
      <c r="B12" s="14" t="s">
        <v>1</v>
      </c>
      <c r="D12" s="16" t="s">
        <v>18</v>
      </c>
      <c r="E12" s="18">
        <v>1</v>
      </c>
      <c r="F12" s="18">
        <v>1</v>
      </c>
      <c r="G12" s="18">
        <v>1</v>
      </c>
      <c r="H12" s="18">
        <v>1</v>
      </c>
      <c r="I12" s="18">
        <v>0</v>
      </c>
      <c r="J12" s="18">
        <v>0</v>
      </c>
      <c r="K12" s="18">
        <v>0</v>
      </c>
      <c r="L12" s="35"/>
      <c r="M12" s="18">
        <v>0</v>
      </c>
      <c r="N12" s="18">
        <f t="shared" si="2"/>
        <v>4</v>
      </c>
      <c r="O12" s="25">
        <f t="shared" si="1"/>
        <v>0</v>
      </c>
    </row>
    <row r="13" spans="1:15" x14ac:dyDescent="0.25">
      <c r="A13" t="s">
        <v>18</v>
      </c>
      <c r="B13" t="s">
        <v>14</v>
      </c>
      <c r="C13" s="36"/>
      <c r="D13" s="16" t="s">
        <v>19</v>
      </c>
      <c r="E13" s="18">
        <v>1</v>
      </c>
      <c r="F13" s="18">
        <v>1</v>
      </c>
      <c r="G13" s="18">
        <v>1</v>
      </c>
      <c r="H13" s="18">
        <v>1</v>
      </c>
      <c r="I13" s="18">
        <v>1</v>
      </c>
      <c r="J13" s="18">
        <v>1</v>
      </c>
      <c r="K13" s="18">
        <v>1</v>
      </c>
      <c r="L13" s="35"/>
      <c r="M13" s="18">
        <v>1</v>
      </c>
      <c r="N13" s="18">
        <f t="shared" si="2"/>
        <v>6</v>
      </c>
      <c r="O13" s="25">
        <f t="shared" si="1"/>
        <v>0</v>
      </c>
    </row>
    <row r="14" spans="1:15" x14ac:dyDescent="0.25">
      <c r="A14" s="1" t="s">
        <v>2</v>
      </c>
      <c r="B14" t="s">
        <v>15</v>
      </c>
      <c r="C14" s="37"/>
      <c r="D14" s="16" t="s">
        <v>20</v>
      </c>
      <c r="E14" s="18">
        <v>0</v>
      </c>
      <c r="F14" s="18">
        <v>1</v>
      </c>
      <c r="G14" s="18">
        <v>1</v>
      </c>
      <c r="H14" s="18">
        <v>1</v>
      </c>
      <c r="I14" s="18">
        <v>0</v>
      </c>
      <c r="J14" s="18">
        <v>0</v>
      </c>
      <c r="K14" s="18">
        <v>0</v>
      </c>
      <c r="L14" s="35"/>
      <c r="M14" s="18">
        <v>1</v>
      </c>
      <c r="N14" s="18">
        <f t="shared" si="2"/>
        <v>2</v>
      </c>
      <c r="O14" s="25">
        <f t="shared" si="1"/>
        <v>0</v>
      </c>
    </row>
    <row r="15" spans="1:15" x14ac:dyDescent="0.25">
      <c r="A15" t="s">
        <v>22</v>
      </c>
      <c r="B15" t="s">
        <v>12</v>
      </c>
      <c r="D15" s="16" t="s">
        <v>32</v>
      </c>
      <c r="E15" s="18">
        <v>1</v>
      </c>
      <c r="F15" s="18">
        <v>1</v>
      </c>
      <c r="G15" s="18">
        <v>1</v>
      </c>
      <c r="H15" s="18">
        <v>1</v>
      </c>
      <c r="I15" s="18">
        <v>1</v>
      </c>
      <c r="J15" s="18">
        <v>1</v>
      </c>
      <c r="K15" s="18">
        <v>1</v>
      </c>
      <c r="L15" s="35"/>
      <c r="M15" s="18">
        <v>0</v>
      </c>
      <c r="N15" s="18">
        <f t="shared" si="2"/>
        <v>7</v>
      </c>
      <c r="O15" s="25">
        <f t="shared" si="1"/>
        <v>0</v>
      </c>
    </row>
    <row r="16" spans="1:15" x14ac:dyDescent="0.25">
      <c r="A16" t="s">
        <v>6</v>
      </c>
      <c r="B16" t="s">
        <v>13</v>
      </c>
      <c r="D16" s="16" t="s">
        <v>21</v>
      </c>
      <c r="E16" s="18">
        <v>1</v>
      </c>
      <c r="F16" s="19">
        <v>0.5</v>
      </c>
      <c r="G16" s="18">
        <v>1</v>
      </c>
      <c r="H16" s="18">
        <v>1</v>
      </c>
      <c r="I16" s="18">
        <v>1</v>
      </c>
      <c r="J16" s="19">
        <v>0.5</v>
      </c>
      <c r="K16" s="18">
        <v>1</v>
      </c>
      <c r="L16" s="35"/>
      <c r="M16" s="18">
        <v>1</v>
      </c>
      <c r="N16" s="19">
        <f t="shared" si="2"/>
        <v>5</v>
      </c>
      <c r="O16" s="25">
        <f t="shared" si="1"/>
        <v>0</v>
      </c>
    </row>
    <row r="17" spans="1:15" x14ac:dyDescent="0.25">
      <c r="A17" t="s">
        <v>9</v>
      </c>
      <c r="B17" t="s">
        <v>11</v>
      </c>
      <c r="D17" s="16" t="s">
        <v>22</v>
      </c>
      <c r="E17" s="18">
        <v>1</v>
      </c>
      <c r="F17" s="18">
        <v>1</v>
      </c>
      <c r="G17" s="18">
        <v>1</v>
      </c>
      <c r="H17" s="18">
        <v>1</v>
      </c>
      <c r="I17" s="18">
        <v>1</v>
      </c>
      <c r="J17" s="18">
        <v>1</v>
      </c>
      <c r="K17" s="18">
        <v>1</v>
      </c>
      <c r="L17" s="35"/>
      <c r="M17" s="18">
        <v>0</v>
      </c>
      <c r="N17" s="18">
        <f t="shared" si="2"/>
        <v>7</v>
      </c>
      <c r="O17" s="25">
        <f t="shared" si="1"/>
        <v>0</v>
      </c>
    </row>
    <row r="18" spans="1:15" s="1" customFormat="1" x14ac:dyDescent="0.25">
      <c r="A18" t="s">
        <v>32</v>
      </c>
      <c r="B18" t="s">
        <v>10</v>
      </c>
      <c r="D18" s="16" t="s">
        <v>33</v>
      </c>
      <c r="E18" s="18">
        <v>0</v>
      </c>
      <c r="F18" s="18">
        <v>0</v>
      </c>
      <c r="G18" s="18">
        <v>1</v>
      </c>
      <c r="H18" s="18">
        <v>0</v>
      </c>
      <c r="I18" s="18">
        <v>0</v>
      </c>
      <c r="J18" s="18">
        <v>0</v>
      </c>
      <c r="K18" s="18">
        <v>0</v>
      </c>
      <c r="L18" s="35"/>
      <c r="M18" s="18">
        <v>0</v>
      </c>
      <c r="N18" s="18">
        <f t="shared" si="2"/>
        <v>1</v>
      </c>
      <c r="O18" s="25">
        <f t="shared" si="1"/>
        <v>0</v>
      </c>
    </row>
    <row r="19" spans="1:15" x14ac:dyDescent="0.25">
      <c r="A19" t="s">
        <v>33</v>
      </c>
      <c r="D19" s="16" t="s">
        <v>14</v>
      </c>
      <c r="E19" s="18">
        <v>1</v>
      </c>
      <c r="F19" s="18">
        <v>1</v>
      </c>
      <c r="G19" s="18">
        <v>1</v>
      </c>
      <c r="H19" s="18">
        <v>0</v>
      </c>
      <c r="I19" s="18">
        <v>0</v>
      </c>
      <c r="J19" s="18">
        <v>0</v>
      </c>
      <c r="K19" s="18">
        <v>0</v>
      </c>
      <c r="L19" s="35"/>
      <c r="M19" s="18">
        <v>1</v>
      </c>
      <c r="N19" s="18">
        <f t="shared" si="2"/>
        <v>2</v>
      </c>
      <c r="O19" s="25">
        <f t="shared" si="1"/>
        <v>0</v>
      </c>
    </row>
    <row r="20" spans="1:15" x14ac:dyDescent="0.25">
      <c r="A20" t="s">
        <v>8</v>
      </c>
      <c r="D20" s="16" t="s">
        <v>15</v>
      </c>
      <c r="E20" s="18">
        <v>1</v>
      </c>
      <c r="F20" s="18">
        <v>1</v>
      </c>
      <c r="G20" s="18">
        <v>1</v>
      </c>
      <c r="H20" s="18">
        <v>1</v>
      </c>
      <c r="I20" s="18">
        <v>1</v>
      </c>
      <c r="J20" s="18">
        <v>1</v>
      </c>
      <c r="K20" s="18">
        <v>1</v>
      </c>
      <c r="L20" s="35"/>
      <c r="M20" s="18">
        <v>0</v>
      </c>
      <c r="N20" s="18">
        <f t="shared" si="2"/>
        <v>7</v>
      </c>
      <c r="O20" s="25">
        <f t="shared" si="1"/>
        <v>0</v>
      </c>
    </row>
    <row r="21" spans="1:15" x14ac:dyDescent="0.25">
      <c r="A21" t="s">
        <v>17</v>
      </c>
      <c r="B21" s="1"/>
      <c r="D21" s="16" t="s">
        <v>12</v>
      </c>
      <c r="E21" s="18">
        <v>1</v>
      </c>
      <c r="F21" s="18">
        <v>1</v>
      </c>
      <c r="G21" s="18">
        <v>1</v>
      </c>
      <c r="H21" s="18">
        <v>0</v>
      </c>
      <c r="I21" s="18">
        <v>0</v>
      </c>
      <c r="J21" s="18">
        <v>0</v>
      </c>
      <c r="K21" s="18">
        <v>0</v>
      </c>
      <c r="L21" s="35"/>
      <c r="M21" s="18">
        <v>0</v>
      </c>
      <c r="N21" s="18">
        <f t="shared" si="2"/>
        <v>3</v>
      </c>
      <c r="O21" s="25">
        <f t="shared" si="1"/>
        <v>0</v>
      </c>
    </row>
    <row r="22" spans="1:15" x14ac:dyDescent="0.25">
      <c r="A22" t="s">
        <v>7</v>
      </c>
      <c r="B22" s="1"/>
      <c r="D22" s="16" t="s">
        <v>13</v>
      </c>
      <c r="E22" s="18">
        <v>1</v>
      </c>
      <c r="F22" s="18">
        <v>1</v>
      </c>
      <c r="G22" s="18">
        <v>1</v>
      </c>
      <c r="H22" s="18">
        <v>1</v>
      </c>
      <c r="I22" s="18">
        <v>1</v>
      </c>
      <c r="J22" s="18">
        <v>1</v>
      </c>
      <c r="K22" s="18">
        <v>1</v>
      </c>
      <c r="L22" s="35"/>
      <c r="M22" s="18">
        <v>3</v>
      </c>
      <c r="N22" s="18">
        <f t="shared" si="2"/>
        <v>4</v>
      </c>
      <c r="O22" s="25">
        <f t="shared" si="1"/>
        <v>0</v>
      </c>
    </row>
    <row r="23" spans="1:15" x14ac:dyDescent="0.25">
      <c r="A23" t="s">
        <v>21</v>
      </c>
      <c r="B23" s="1"/>
      <c r="D23" s="16" t="s">
        <v>11</v>
      </c>
      <c r="E23" s="18">
        <v>1</v>
      </c>
      <c r="F23" s="18">
        <v>1</v>
      </c>
      <c r="G23" s="18">
        <v>1</v>
      </c>
      <c r="H23" s="18">
        <v>0</v>
      </c>
      <c r="I23" s="18">
        <v>0</v>
      </c>
      <c r="J23" s="18">
        <v>0</v>
      </c>
      <c r="K23" s="18">
        <v>0</v>
      </c>
      <c r="L23" s="35"/>
      <c r="M23" s="18">
        <v>0</v>
      </c>
      <c r="N23" s="18">
        <f t="shared" si="2"/>
        <v>3</v>
      </c>
      <c r="O23" s="25">
        <f t="shared" si="1"/>
        <v>0</v>
      </c>
    </row>
    <row r="24" spans="1:15" x14ac:dyDescent="0.25">
      <c r="A24" t="s">
        <v>34</v>
      </c>
      <c r="D24" s="16" t="s">
        <v>34</v>
      </c>
      <c r="E24" s="18">
        <v>1</v>
      </c>
      <c r="F24" s="18">
        <v>1</v>
      </c>
      <c r="G24" s="18">
        <v>1</v>
      </c>
      <c r="H24" s="18">
        <v>1</v>
      </c>
      <c r="I24" s="18">
        <v>1</v>
      </c>
      <c r="J24" s="18">
        <v>0</v>
      </c>
      <c r="K24" s="18">
        <v>0</v>
      </c>
      <c r="L24" s="35"/>
      <c r="M24" s="18">
        <v>1</v>
      </c>
      <c r="N24" s="18">
        <f>SUM(E24:K24)-M24</f>
        <v>4</v>
      </c>
      <c r="O24" s="25">
        <f>(A$3/B$6)*N24+(A$5/B$7)*SUM(E24:K24)</f>
        <v>0</v>
      </c>
    </row>
    <row r="25" spans="1:15" x14ac:dyDescent="0.25">
      <c r="A25" t="s">
        <v>20</v>
      </c>
      <c r="D25" s="16" t="s">
        <v>10</v>
      </c>
      <c r="E25" s="18">
        <v>1</v>
      </c>
      <c r="F25" s="18">
        <v>1</v>
      </c>
      <c r="G25" s="18">
        <v>1</v>
      </c>
      <c r="H25" s="18">
        <v>1</v>
      </c>
      <c r="I25" s="18">
        <v>1</v>
      </c>
      <c r="J25" s="18">
        <v>1</v>
      </c>
      <c r="K25" s="18">
        <v>1</v>
      </c>
      <c r="L25" s="35"/>
      <c r="M25" s="18">
        <v>0</v>
      </c>
      <c r="N25" s="18">
        <f>SUM(E25:K25)-M25</f>
        <v>7</v>
      </c>
      <c r="O25" s="25">
        <f>(A$3/B$6)*N25+(A$5/B$7)*SUM(E25:K25)</f>
        <v>0</v>
      </c>
    </row>
    <row r="26" spans="1:15" x14ac:dyDescent="0.25">
      <c r="A26" t="s">
        <v>19</v>
      </c>
      <c r="O26" s="57">
        <f>SUM(O4:O25)</f>
        <v>0</v>
      </c>
    </row>
    <row r="27" spans="1:15" x14ac:dyDescent="0.25">
      <c r="A27" s="1" t="s">
        <v>16</v>
      </c>
    </row>
    <row r="28" spans="1:15" x14ac:dyDescent="0.25">
      <c r="A28" t="s">
        <v>5</v>
      </c>
    </row>
    <row r="30" spans="1:15" x14ac:dyDescent="0.25">
      <c r="A30" s="24" t="s">
        <v>64</v>
      </c>
      <c r="B30" s="24" t="s">
        <v>1</v>
      </c>
    </row>
    <row r="31" spans="1:15" x14ac:dyDescent="0.25">
      <c r="A31" s="38">
        <f>COUNTA(A13:A28)</f>
        <v>16</v>
      </c>
      <c r="B31" s="38">
        <f>COUNTA(B13:B28)</f>
        <v>6</v>
      </c>
    </row>
    <row r="32" spans="1:15" x14ac:dyDescent="0.25">
      <c r="A32" s="168" t="s">
        <v>29</v>
      </c>
      <c r="B32" s="169"/>
    </row>
    <row r="33" spans="1:2" x14ac:dyDescent="0.25">
      <c r="A33" s="171">
        <f>A31+B31</f>
        <v>22</v>
      </c>
      <c r="B33" s="172"/>
    </row>
  </sheetData>
  <sortState ref="A13:A30">
    <sortCondition ref="A30"/>
  </sortState>
  <mergeCells count="12">
    <mergeCell ref="A32:B32"/>
    <mergeCell ref="A33:B33"/>
    <mergeCell ref="A4:B4"/>
    <mergeCell ref="A5:B5"/>
    <mergeCell ref="A9:B9"/>
    <mergeCell ref="A10:B10"/>
    <mergeCell ref="O2:O3"/>
    <mergeCell ref="D1:O1"/>
    <mergeCell ref="N2:N3"/>
    <mergeCell ref="M2:M3"/>
    <mergeCell ref="A2:B2"/>
    <mergeCell ref="A3:B3"/>
  </mergeCells>
  <conditionalFormatting sqref="E4:L23 E25:L25">
    <cfRule type="cellIs" dxfId="133" priority="6" operator="greaterThan">
      <formula>0</formula>
    </cfRule>
    <cfRule type="containsText" dxfId="132" priority="7" operator="containsText" text="0">
      <formula>NOT(ISERROR(SEARCH("0",E4)))</formula>
    </cfRule>
    <cfRule type="containsText" dxfId="131" priority="8" operator="containsText" text="0,5">
      <formula>NOT(ISERROR(SEARCH("0,5",E4)))</formula>
    </cfRule>
    <cfRule type="containsText" dxfId="130" priority="9" operator="containsText" text="1">
      <formula>NOT(ISERROR(SEARCH("1",E4)))</formula>
    </cfRule>
  </conditionalFormatting>
  <conditionalFormatting sqref="E24:L24">
    <cfRule type="cellIs" dxfId="129" priority="2" operator="greaterThan">
      <formula>0</formula>
    </cfRule>
    <cfRule type="containsText" dxfId="128" priority="3" operator="containsText" text="0">
      <formula>NOT(ISERROR(SEARCH("0",E24)))</formula>
    </cfRule>
    <cfRule type="containsText" dxfId="127" priority="4" operator="containsText" text="0,5">
      <formula>NOT(ISERROR(SEARCH("0,5",E24)))</formula>
    </cfRule>
    <cfRule type="containsText" dxfId="126" priority="5" operator="containsText" text="1">
      <formula>NOT(ISERROR(SEARCH("1",E24)))</formula>
    </cfRule>
  </conditionalFormatting>
  <conditionalFormatting sqref="O26">
    <cfRule type="cellIs" dxfId="125" priority="1" operator="equal">
      <formula>$A$10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tabColor theme="3" tint="-0.499984740745262"/>
  </sheetPr>
  <dimension ref="A1:T34"/>
  <sheetViews>
    <sheetView topLeftCell="H1" zoomScale="80" zoomScaleNormal="80" workbookViewId="0">
      <selection activeCell="R8" sqref="R8:S8"/>
    </sheetView>
  </sheetViews>
  <sheetFormatPr defaultRowHeight="15" outlineLevelCol="1" x14ac:dyDescent="0.25"/>
  <cols>
    <col min="1" max="1" width="24.5703125" customWidth="1"/>
    <col min="2" max="2" width="16.42578125" customWidth="1"/>
    <col min="3" max="3" width="13.5703125" hidden="1" customWidth="1" outlineLevel="1"/>
    <col min="4" max="5" width="13.5703125" style="1" hidden="1" customWidth="1" outlineLevel="1"/>
    <col min="6" max="6" width="19.5703125" style="1" hidden="1" customWidth="1" outlineLevel="1"/>
    <col min="7" max="7" width="19.5703125" style="1" customWidth="1" collapsed="1"/>
    <col min="8" max="8" width="15.5703125" customWidth="1"/>
    <col min="9" max="9" width="4.5703125" style="1" customWidth="1"/>
    <col min="10" max="14" width="19.5703125" style="1" customWidth="1"/>
    <col min="15" max="15" width="16.140625" style="1" customWidth="1"/>
    <col min="16" max="16" width="16.140625" style="46" customWidth="1"/>
    <col min="18" max="18" width="10.42578125" bestFit="1" customWidth="1"/>
    <col min="19" max="19" width="12.85546875" customWidth="1"/>
    <col min="20" max="20" width="10.140625" bestFit="1" customWidth="1"/>
  </cols>
  <sheetData>
    <row r="1" spans="1:20" s="1" customFormat="1" ht="19.5" x14ac:dyDescent="0.25">
      <c r="A1" s="177" t="s">
        <v>106</v>
      </c>
      <c r="B1" s="177"/>
      <c r="C1" s="177"/>
      <c r="D1" s="177"/>
      <c r="E1" s="177"/>
      <c r="F1" s="177"/>
      <c r="G1" s="177"/>
      <c r="H1" s="177"/>
      <c r="I1" s="177"/>
      <c r="J1" s="107"/>
      <c r="K1" s="178" t="s">
        <v>112</v>
      </c>
      <c r="L1" s="179"/>
      <c r="M1" s="179"/>
      <c r="N1" s="179"/>
      <c r="O1" s="179"/>
      <c r="P1" s="180"/>
    </row>
    <row r="2" spans="1:20" ht="24" customHeight="1" x14ac:dyDescent="0.25">
      <c r="A2" s="56" t="s">
        <v>66</v>
      </c>
      <c r="B2" s="56" t="s">
        <v>61</v>
      </c>
      <c r="C2" s="86" t="s">
        <v>109</v>
      </c>
      <c r="D2" s="86" t="s">
        <v>108</v>
      </c>
      <c r="E2" s="56" t="s">
        <v>105</v>
      </c>
      <c r="F2" s="56" t="s">
        <v>37</v>
      </c>
      <c r="G2" s="56" t="s">
        <v>89</v>
      </c>
      <c r="H2" s="56" t="s">
        <v>67</v>
      </c>
      <c r="I2" s="82"/>
      <c r="J2" s="104"/>
      <c r="K2" s="56" t="s">
        <v>110</v>
      </c>
      <c r="L2" s="86" t="s">
        <v>111</v>
      </c>
      <c r="M2" s="86" t="s">
        <v>4</v>
      </c>
      <c r="N2" s="86" t="s">
        <v>113</v>
      </c>
      <c r="O2" s="113" t="s">
        <v>90</v>
      </c>
      <c r="P2" s="56" t="s">
        <v>91</v>
      </c>
      <c r="R2" s="183" t="s">
        <v>89</v>
      </c>
      <c r="S2" s="184"/>
      <c r="T2" s="185"/>
    </row>
    <row r="3" spans="1:20" ht="15.75" x14ac:dyDescent="0.3">
      <c r="A3" s="45"/>
      <c r="B3" s="48">
        <f>SUMIF(PreRustur!F$4:F$60,"Anders",PreRustur!E$4:E$60)</f>
        <v>0</v>
      </c>
      <c r="C3" s="41">
        <f>(SUMIF(PreRustur!G$4:G$60,"Alle",PreRustur!I$4:I$60))</f>
        <v>0</v>
      </c>
      <c r="D3" s="41">
        <f>(SUMIF(PreRustur!G$4:G$60,"*Anders*",PreRustur!I$4:I$60))</f>
        <v>0</v>
      </c>
      <c r="E3" s="41" t="e">
        <f>(SUMIF(#REF!,"Anders",#REF!))</f>
        <v>#REF!</v>
      </c>
      <c r="F3" s="41">
        <f>(SUMIF(Deltagere!D$4:D$25,"Anders",Deltagere!O$4:O$25))</f>
        <v>0</v>
      </c>
      <c r="G3" s="41" t="e">
        <f>SUM(C3:F3)</f>
        <v>#REF!</v>
      </c>
      <c r="H3" t="e">
        <f>B3-G3</f>
        <v>#REF!</v>
      </c>
      <c r="I3" s="46"/>
      <c r="J3" s="105"/>
      <c r="K3" s="122"/>
      <c r="L3" s="123"/>
      <c r="M3" s="123"/>
      <c r="N3" s="109"/>
      <c r="O3" s="110"/>
      <c r="P3" s="138"/>
      <c r="R3" s="186" t="e">
        <f>PreRustur!E61+#REF!</f>
        <v>#REF!</v>
      </c>
      <c r="S3" s="187"/>
      <c r="T3" s="188"/>
    </row>
    <row r="4" spans="1:20" ht="15.75" x14ac:dyDescent="0.3">
      <c r="A4" s="45"/>
      <c r="B4" s="48">
        <f>SUMIF(PreRustur!F$4:F$60,"Anna",PreRustur!E$4:E$60)</f>
        <v>0</v>
      </c>
      <c r="C4" s="41">
        <f>(SUMIF(PreRustur!G$4:G$60,"Alle",PreRustur!I$4:I$60))</f>
        <v>0</v>
      </c>
      <c r="D4" s="41">
        <f>(SUMIF(PreRustur!G$4:G$60,"*Anna*",PreRustur!I$4:I$60))</f>
        <v>0</v>
      </c>
      <c r="E4" s="41" t="e">
        <f>(SUMIF(#REF!,"Anna",#REF!))</f>
        <v>#REF!</v>
      </c>
      <c r="F4" s="41">
        <f>(SUMIF(Deltagere!D$4:D$25,"Anna",Deltagere!O$4:O$25))</f>
        <v>0</v>
      </c>
      <c r="G4" s="41" t="e">
        <f t="shared" ref="G4:G25" si="0">SUM(C4:F4)</f>
        <v>#REF!</v>
      </c>
      <c r="H4" s="1" t="e">
        <f t="shared" ref="H4:H25" si="1">B4-G4</f>
        <v>#REF!</v>
      </c>
      <c r="I4" s="46" t="s">
        <v>103</v>
      </c>
      <c r="J4" s="112"/>
      <c r="K4" s="124"/>
      <c r="L4" s="125"/>
      <c r="M4" s="125"/>
      <c r="N4" s="99"/>
      <c r="O4" s="98"/>
      <c r="P4" s="111"/>
    </row>
    <row r="5" spans="1:20" ht="15.75" x14ac:dyDescent="0.3">
      <c r="A5" s="45"/>
      <c r="B5" s="48">
        <f>SUMIF(PreRustur!F$4:F$60,"Anne",PreRustur!E$4:E$60)</f>
        <v>0</v>
      </c>
      <c r="C5" s="41">
        <f>(SUMIF(PreRustur!G$4:G$60,"Alle",PreRustur!I$4:I$60))</f>
        <v>0</v>
      </c>
      <c r="D5" s="41">
        <f>+(SUMIF(PreRustur!G$4:G$60,"*Anne*",PreRustur!I$4:I$60))</f>
        <v>0</v>
      </c>
      <c r="E5" s="41" t="e">
        <f>(SUMIF(#REF!,"Anne",#REF!))</f>
        <v>#REF!</v>
      </c>
      <c r="F5" s="41">
        <f>Deltagere!O4</f>
        <v>0</v>
      </c>
      <c r="G5" s="41" t="e">
        <f t="shared" si="0"/>
        <v>#REF!</v>
      </c>
      <c r="H5" s="1" t="e">
        <f t="shared" si="1"/>
        <v>#REF!</v>
      </c>
      <c r="I5" s="46" t="s">
        <v>103</v>
      </c>
      <c r="J5" s="105"/>
      <c r="K5" s="124"/>
      <c r="L5" s="125"/>
      <c r="M5" s="125"/>
      <c r="N5" s="102"/>
      <c r="O5" s="100"/>
      <c r="P5" s="111"/>
      <c r="R5" s="41"/>
    </row>
    <row r="6" spans="1:20" ht="15.75" x14ac:dyDescent="0.3">
      <c r="A6" s="45"/>
      <c r="B6" s="48">
        <f>SUMIF(PreRustur!F$4:F$60,"Anton",PreRustur!E$4:E$60)</f>
        <v>0</v>
      </c>
      <c r="C6" s="41">
        <f>(SUMIF(PreRustur!G$4:G$60,"Alle",PreRustur!I$4:I$60))</f>
        <v>0</v>
      </c>
      <c r="D6" s="41">
        <f>+(SUMIF(PreRustur!G$4:G$60,"*Anton*",PreRustur!I$4:I$60))</f>
        <v>0</v>
      </c>
      <c r="E6" s="41" t="e">
        <f>(SUMIF(#REF!,"Anton",#REF!))</f>
        <v>#REF!</v>
      </c>
      <c r="F6" s="41">
        <f>(SUMIF(Deltagere!D$4:D$25,"Anton",Deltagere!O$4:O$25))</f>
        <v>0</v>
      </c>
      <c r="G6" s="41" t="e">
        <f t="shared" si="0"/>
        <v>#REF!</v>
      </c>
      <c r="H6" s="1" t="e">
        <f t="shared" si="1"/>
        <v>#REF!</v>
      </c>
      <c r="I6" s="46" t="s">
        <v>103</v>
      </c>
      <c r="J6" s="112"/>
      <c r="K6" s="122"/>
      <c r="L6" s="123"/>
      <c r="M6" s="123"/>
      <c r="N6" s="109"/>
      <c r="O6" s="110"/>
      <c r="P6" s="111" t="s">
        <v>30</v>
      </c>
      <c r="R6" s="41"/>
    </row>
    <row r="7" spans="1:20" ht="15.75" x14ac:dyDescent="0.3">
      <c r="A7" s="45"/>
      <c r="B7" s="48">
        <f>SUMIF(PreRustur!F$4:F$60,"Bodilsen",PreRustur!E$4:E$60)</f>
        <v>0</v>
      </c>
      <c r="C7" s="41">
        <f>(SUMIF(PreRustur!G$4:G$60,"Alle",PreRustur!I$4:I$60))</f>
        <v>0</v>
      </c>
      <c r="D7" s="41">
        <f>+(SUMIF(PreRustur!G$4:G$60,"*Bodilsen*",PreRustur!I$4:I$60))</f>
        <v>0</v>
      </c>
      <c r="E7" s="41" t="e">
        <f>(SUMIF(#REF!,"Bodilsen",#REF!))</f>
        <v>#REF!</v>
      </c>
      <c r="F7" s="41">
        <f>(SUMIF(Deltagere!D$4:D$25,"Bodilsen",Deltagere!O$4:O$25))</f>
        <v>0</v>
      </c>
      <c r="G7" s="41" t="e">
        <f t="shared" si="0"/>
        <v>#REF!</v>
      </c>
      <c r="H7" s="1" t="e">
        <f t="shared" si="1"/>
        <v>#REF!</v>
      </c>
      <c r="I7" s="46" t="s">
        <v>103</v>
      </c>
      <c r="J7" s="105"/>
      <c r="K7" s="126"/>
      <c r="L7" s="125"/>
      <c r="M7" s="125"/>
      <c r="N7" s="102"/>
      <c r="O7" s="101"/>
      <c r="P7" s="111"/>
      <c r="R7" s="189" t="s">
        <v>94</v>
      </c>
      <c r="S7" s="189"/>
      <c r="T7" s="111"/>
    </row>
    <row r="8" spans="1:20" ht="15.75" x14ac:dyDescent="0.3">
      <c r="A8" s="45"/>
      <c r="B8" s="48">
        <f>SUMIF(PreRustur!F$4:F$60,"Brit",PreRustur!E$4:E$60)</f>
        <v>0</v>
      </c>
      <c r="C8" s="41">
        <f>(SUMIF(PreRustur!G$4:G$60,"Alle",PreRustur!I$4:I$60))</f>
        <v>0</v>
      </c>
      <c r="D8" s="41">
        <f>+(SUMIF(PreRustur!G$4:G$60,"*Brit*",PreRustur!I$4:I$60))</f>
        <v>0</v>
      </c>
      <c r="E8" s="41" t="e">
        <f>(SUMIF(#REF!,"Brit",#REF!))</f>
        <v>#REF!</v>
      </c>
      <c r="F8" s="41">
        <f>(SUMIF(Deltagere!D$4:D$25,"Brit",Deltagere!O$4:O$25))</f>
        <v>0</v>
      </c>
      <c r="G8" s="41" t="e">
        <f t="shared" si="0"/>
        <v>#REF!</v>
      </c>
      <c r="H8" s="1" t="e">
        <f t="shared" si="1"/>
        <v>#REF!</v>
      </c>
      <c r="I8" s="46" t="s">
        <v>103</v>
      </c>
      <c r="J8" s="105"/>
      <c r="K8" s="127"/>
      <c r="L8" s="128"/>
      <c r="M8" s="128"/>
      <c r="N8" s="103"/>
      <c r="O8" s="101"/>
      <c r="P8" s="111"/>
      <c r="R8" s="190" t="s">
        <v>92</v>
      </c>
      <c r="S8" s="190"/>
      <c r="T8" s="18"/>
    </row>
    <row r="9" spans="1:20" ht="15.75" x14ac:dyDescent="0.3">
      <c r="A9" s="45"/>
      <c r="B9" s="48">
        <f>SUMIF(PreRustur!F$4:F$60,"Camilla",PreRustur!E$4:E$60)</f>
        <v>0</v>
      </c>
      <c r="C9" s="41">
        <f>(SUMIF(PreRustur!G$4:G$60,"Alle",PreRustur!I$4:I$60))</f>
        <v>0</v>
      </c>
      <c r="D9" s="41">
        <f>+(SUMIF(PreRustur!G$4:G$60,"*Camilla*",PreRustur!I$4:I$60))</f>
        <v>0</v>
      </c>
      <c r="E9" s="41" t="e">
        <f>(SUMIF(#REF!,"Camilla",#REF!))</f>
        <v>#REF!</v>
      </c>
      <c r="F9" s="41">
        <f>(SUMIF(Deltagere!D$4:D$25,"Camilla",Deltagere!O$4:O$25))</f>
        <v>0</v>
      </c>
      <c r="G9" s="41" t="e">
        <f t="shared" si="0"/>
        <v>#REF!</v>
      </c>
      <c r="H9" s="1" t="e">
        <f t="shared" si="1"/>
        <v>#REF!</v>
      </c>
      <c r="I9" s="46"/>
      <c r="J9" s="105"/>
      <c r="K9" s="126"/>
      <c r="L9" s="125"/>
      <c r="M9" s="125"/>
      <c r="N9" s="102"/>
      <c r="O9" s="100"/>
      <c r="P9" s="111"/>
      <c r="R9" s="190" t="s">
        <v>93</v>
      </c>
      <c r="S9" s="190"/>
      <c r="T9" s="18"/>
    </row>
    <row r="10" spans="1:20" ht="15.75" x14ac:dyDescent="0.3">
      <c r="A10" s="45"/>
      <c r="B10" s="48">
        <f>SUMIF(PreRustur!F$4:F$60,"Cirkeline",PreRustur!E$4:E$60)</f>
        <v>0</v>
      </c>
      <c r="C10" s="41">
        <f>(SUMIF(PreRustur!G$4:G$60,"Alle",PreRustur!I$4:I$60))</f>
        <v>0</v>
      </c>
      <c r="D10" s="41">
        <f>+(SUMIF(PreRustur!G$4:G$60,"*Cirkeline*",PreRustur!I$4:I$60))</f>
        <v>0</v>
      </c>
      <c r="E10" s="41" t="e">
        <f>(SUMIF(#REF!,"Cirkeline",#REF!))</f>
        <v>#REF!</v>
      </c>
      <c r="F10" s="41">
        <f>(SUMIF(Deltagere!D$4:D$25,"Cirkeline",Deltagere!O$4:O$25))</f>
        <v>0</v>
      </c>
      <c r="G10" s="41" t="e">
        <f t="shared" si="0"/>
        <v>#REF!</v>
      </c>
      <c r="H10" s="1" t="e">
        <f t="shared" si="1"/>
        <v>#REF!</v>
      </c>
      <c r="I10" s="46" t="s">
        <v>103</v>
      </c>
      <c r="J10" s="105"/>
      <c r="K10" s="126"/>
      <c r="L10" s="125"/>
      <c r="M10" s="125"/>
      <c r="N10" s="102"/>
      <c r="O10" s="100"/>
      <c r="P10" s="111"/>
      <c r="R10" s="181" t="s">
        <v>128</v>
      </c>
      <c r="S10" s="182"/>
      <c r="T10" s="140" t="e">
        <f>(T7-T9)/T7*100</f>
        <v>#DIV/0!</v>
      </c>
    </row>
    <row r="11" spans="1:20" ht="15.75" x14ac:dyDescent="0.3">
      <c r="A11" s="45"/>
      <c r="B11" s="48">
        <f>SUMIF(PreRustur!F$4:F$60,"Emil",PreRustur!E$4:E$60)</f>
        <v>0</v>
      </c>
      <c r="C11" s="41">
        <f>(SUMIF(PreRustur!G$4:G$60,"Alle",PreRustur!I$4:I$60))</f>
        <v>0</v>
      </c>
      <c r="D11" s="41">
        <f>+(SUMIF(PreRustur!G$4:G$60,"*Emil*",PreRustur!I$4:I$60))</f>
        <v>0</v>
      </c>
      <c r="E11" s="41" t="e">
        <f>(SUMIF(#REF!,"Emil",#REF!))</f>
        <v>#REF!</v>
      </c>
      <c r="F11" s="41">
        <f>(SUMIF(Deltagere!D$4:D$25,"Emil",Deltagere!O$4:O$25))</f>
        <v>0</v>
      </c>
      <c r="G11" s="41" t="e">
        <f t="shared" si="0"/>
        <v>#REF!</v>
      </c>
      <c r="H11" s="1" t="e">
        <f t="shared" si="1"/>
        <v>#REF!</v>
      </c>
      <c r="I11" s="46" t="s">
        <v>103</v>
      </c>
      <c r="J11" s="105"/>
      <c r="K11" s="122"/>
      <c r="L11" s="123"/>
      <c r="M11" s="123"/>
      <c r="N11" s="109"/>
      <c r="O11" s="110"/>
      <c r="P11" s="111" t="s">
        <v>30</v>
      </c>
    </row>
    <row r="12" spans="1:20" ht="15.75" x14ac:dyDescent="0.3">
      <c r="A12" s="45"/>
      <c r="B12" s="48">
        <f>SUMIF(PreRustur!F$4:F$60,"Emma",PreRustur!E$4:E$60)</f>
        <v>0</v>
      </c>
      <c r="C12" s="41">
        <f>(SUMIF(PreRustur!G$4:G$60,"Alle",PreRustur!I$4:I$60))</f>
        <v>0</v>
      </c>
      <c r="D12" s="41">
        <f>+(SUMIF(PreRustur!G$4:G$60,"*Emma*",PreRustur!I$4:I$60))</f>
        <v>0</v>
      </c>
      <c r="E12" s="41" t="e">
        <f>(SUMIF(#REF!,"Emma",#REF!))</f>
        <v>#REF!</v>
      </c>
      <c r="F12" s="41">
        <f>(SUMIF(Deltagere!D$4:D$25,"Emma",Deltagere!O$4:O$25))</f>
        <v>0</v>
      </c>
      <c r="G12" s="41" t="e">
        <f t="shared" si="0"/>
        <v>#REF!</v>
      </c>
      <c r="H12" s="1" t="e">
        <f t="shared" si="1"/>
        <v>#REF!</v>
      </c>
      <c r="I12" s="40"/>
      <c r="J12" s="106"/>
      <c r="K12" s="126"/>
      <c r="L12" s="125"/>
      <c r="M12" s="125"/>
      <c r="N12" s="102"/>
      <c r="O12" s="100"/>
      <c r="P12" s="111"/>
    </row>
    <row r="13" spans="1:20" ht="15.75" x14ac:dyDescent="0.3">
      <c r="A13" s="45"/>
      <c r="B13" s="48">
        <f>SUMIF(PreRustur!F$4:F$60,"Frederik",PreRustur!E$4:E$60)</f>
        <v>0</v>
      </c>
      <c r="C13" s="41">
        <f>(SUMIF(PreRustur!G$4:G$60,"Alle",PreRustur!I$4:I$60))</f>
        <v>0</v>
      </c>
      <c r="D13" s="41">
        <f>+(SUMIF(PreRustur!G$4:G$60,"*Frederik*",PreRustur!I$4:I$60))-161.66</f>
        <v>-161.66</v>
      </c>
      <c r="E13" s="41" t="e">
        <f>(SUMIF(#REF!,"Frederik",#REF!))</f>
        <v>#REF!</v>
      </c>
      <c r="F13" s="41">
        <f>(SUMIF(Deltagere!D$4:D$25,"Frederik",Deltagere!O$4:O$25))</f>
        <v>0</v>
      </c>
      <c r="G13" s="41" t="e">
        <f t="shared" si="0"/>
        <v>#REF!</v>
      </c>
      <c r="H13" s="1" t="e">
        <f t="shared" si="1"/>
        <v>#REF!</v>
      </c>
      <c r="I13" s="46"/>
      <c r="J13" s="105"/>
      <c r="K13" s="126"/>
      <c r="L13" s="125"/>
      <c r="M13" s="125"/>
      <c r="N13" s="102"/>
      <c r="O13" s="100"/>
      <c r="P13" s="111"/>
    </row>
    <row r="14" spans="1:20" ht="15.75" x14ac:dyDescent="0.3">
      <c r="A14" s="45"/>
      <c r="B14" s="48">
        <f>SUMIF(PreRustur!F$4:F$60,"Frederikke",PreRustur!E$4:E$60)</f>
        <v>0</v>
      </c>
      <c r="C14" s="41">
        <f>(SUMIF(PreRustur!G$4:G$60,"Alle",PreRustur!I$4:I$60))</f>
        <v>0</v>
      </c>
      <c r="D14" s="41">
        <f>+(SUMIF(PreRustur!G$4:G$60,"*Frederikke*",PreRustur!I$4:I$60))</f>
        <v>0</v>
      </c>
      <c r="E14" s="41" t="e">
        <f>(SUMIF(#REF!,"Frederikke",#REF!))</f>
        <v>#REF!</v>
      </c>
      <c r="F14" s="41">
        <f>(SUMIF(Deltagere!D$4:D$25,"Frederikke",Deltagere!O$4:O$25))</f>
        <v>0</v>
      </c>
      <c r="G14" s="41" t="e">
        <f t="shared" si="0"/>
        <v>#REF!</v>
      </c>
      <c r="H14" s="1" t="e">
        <f t="shared" si="1"/>
        <v>#REF!</v>
      </c>
      <c r="I14" s="46" t="s">
        <v>103</v>
      </c>
      <c r="J14" s="105"/>
      <c r="K14" s="126"/>
      <c r="L14" s="125"/>
      <c r="M14" s="125"/>
      <c r="N14" s="102"/>
      <c r="O14" s="100"/>
      <c r="P14" s="111"/>
    </row>
    <row r="15" spans="1:20" ht="15.75" x14ac:dyDescent="0.3">
      <c r="A15" s="45"/>
      <c r="B15" s="48">
        <f>SUMIF(PreRustur!F$4:F$60,"Henriette",PreRustur!E$4:E$60)</f>
        <v>0</v>
      </c>
      <c r="C15" s="41">
        <f>(SUMIF(PreRustur!G$4:G$60,"Alle",PreRustur!I$4:I$60))</f>
        <v>0</v>
      </c>
      <c r="D15" s="41">
        <f>+(SUMIF(PreRustur!G$4:G$60,"*Henriette*",PreRustur!I$4:I$60))</f>
        <v>0</v>
      </c>
      <c r="E15" s="41" t="e">
        <f>(SUMIF(#REF!,"Henriette",#REF!))</f>
        <v>#REF!</v>
      </c>
      <c r="F15" s="41">
        <f>(SUMIF(Deltagere!D$4:D$25,"Henriette",Deltagere!O$4:O$25))</f>
        <v>0</v>
      </c>
      <c r="G15" s="41" t="e">
        <f t="shared" si="0"/>
        <v>#REF!</v>
      </c>
      <c r="H15" s="1" t="e">
        <f t="shared" si="1"/>
        <v>#REF!</v>
      </c>
      <c r="I15" s="46" t="s">
        <v>103</v>
      </c>
      <c r="J15" s="105"/>
      <c r="K15" s="122"/>
      <c r="L15" s="123"/>
      <c r="M15" s="123"/>
      <c r="N15" s="109"/>
      <c r="O15" s="110"/>
      <c r="P15" s="111" t="s">
        <v>30</v>
      </c>
    </row>
    <row r="16" spans="1:20" ht="15.75" x14ac:dyDescent="0.3">
      <c r="A16" s="45"/>
      <c r="B16" s="48">
        <f>SUMIF(PreRustur!F$4:F$60,"Henrik",PreRustur!E$4:E$60)</f>
        <v>0</v>
      </c>
      <c r="C16" s="41">
        <f>(SUMIF(PreRustur!G$4:G$60,"Alle",PreRustur!I$4:I$60))</f>
        <v>0</v>
      </c>
      <c r="D16" s="41">
        <f>+(SUMIF(PreRustur!G$4:G$60,"*Henrik*",PreRustur!I$4:I$60))</f>
        <v>0</v>
      </c>
      <c r="E16" s="41" t="e">
        <f>(SUMIF(#REF!,"Henrik",#REF!))</f>
        <v>#REF!</v>
      </c>
      <c r="F16" s="41">
        <f>(SUMIF(Deltagere!D$4:D$25,"Henrik",Deltagere!O$4:O$25))</f>
        <v>0</v>
      </c>
      <c r="G16" s="41" t="e">
        <f t="shared" si="0"/>
        <v>#REF!</v>
      </c>
      <c r="H16" s="1" t="e">
        <f t="shared" si="1"/>
        <v>#REF!</v>
      </c>
      <c r="I16" s="46"/>
      <c r="J16" s="105"/>
      <c r="K16" s="126"/>
      <c r="L16" s="125"/>
      <c r="M16" s="125"/>
      <c r="N16" s="102"/>
      <c r="O16" s="100"/>
      <c r="P16" s="139">
        <v>1</v>
      </c>
      <c r="R16" s="36"/>
    </row>
    <row r="17" spans="1:16" ht="15.75" x14ac:dyDescent="0.3">
      <c r="A17" s="45"/>
      <c r="B17" s="48">
        <f>SUMIF(PreRustur!F$4:F$60,"Ingelise",PreRustur!E$4:E$60)</f>
        <v>0</v>
      </c>
      <c r="C17" s="41">
        <f>(SUMIF(PreRustur!G$4:G$60,"Alle",PreRustur!I$4:I$60))</f>
        <v>0</v>
      </c>
      <c r="D17" s="41">
        <f>+(SUMIF(PreRustur!G$4:G$60,"*Ingelise*",PreRustur!I$4:I$60))</f>
        <v>0</v>
      </c>
      <c r="E17" s="41" t="e">
        <f>(SUMIF(#REF!,"Ingelise",#REF!))</f>
        <v>#REF!</v>
      </c>
      <c r="F17" s="41">
        <f>(SUMIF(Deltagere!D$4:D$25,"Ingelise",Deltagere!O$4:O$25))</f>
        <v>0</v>
      </c>
      <c r="G17" s="41" t="e">
        <f t="shared" si="0"/>
        <v>#REF!</v>
      </c>
      <c r="H17" s="1" t="e">
        <f t="shared" si="1"/>
        <v>#REF!</v>
      </c>
      <c r="I17" s="46" t="s">
        <v>103</v>
      </c>
      <c r="J17" s="105"/>
      <c r="K17" s="129"/>
      <c r="L17" s="130"/>
      <c r="M17" s="130"/>
      <c r="N17" s="108"/>
      <c r="O17" s="97"/>
      <c r="P17" s="111">
        <v>1</v>
      </c>
    </row>
    <row r="18" spans="1:16" ht="15.75" x14ac:dyDescent="0.3">
      <c r="A18" s="45"/>
      <c r="B18" s="48">
        <f>SUMIF(PreRustur!F$4:F$60,"Jakob",PreRustur!E$4:E$60)</f>
        <v>0</v>
      </c>
      <c r="C18" s="41">
        <f>(SUMIF(PreRustur!G$4:G$60,"Alle",PreRustur!I$4:I$60))</f>
        <v>0</v>
      </c>
      <c r="D18" s="41">
        <f>+(SUMIF(PreRustur!G$4:G$60,"*Jakob*",PreRustur!I$4:I$60))</f>
        <v>0</v>
      </c>
      <c r="E18" s="41" t="e">
        <f>(SUMIF(#REF!,"Jakob",#REF!))</f>
        <v>#REF!</v>
      </c>
      <c r="F18" s="41">
        <f>(SUMIF(Deltagere!D$4:D$25,"Jakob",Deltagere!O$4:O$25))</f>
        <v>0</v>
      </c>
      <c r="G18" s="41" t="e">
        <f t="shared" si="0"/>
        <v>#REF!</v>
      </c>
      <c r="H18" s="1" t="e">
        <f t="shared" si="1"/>
        <v>#REF!</v>
      </c>
      <c r="I18" s="46" t="s">
        <v>103</v>
      </c>
      <c r="J18" s="105"/>
      <c r="K18" s="131"/>
      <c r="L18" s="131"/>
      <c r="M18" s="131"/>
      <c r="N18" s="105"/>
      <c r="O18" s="98"/>
      <c r="P18" s="111"/>
    </row>
    <row r="19" spans="1:16" ht="15.75" x14ac:dyDescent="0.3">
      <c r="A19" s="45"/>
      <c r="B19" s="48">
        <f>SUMIF(PreRustur!F$4:F$60,"Joachim",PreRustur!E$4:E$60)</f>
        <v>0</v>
      </c>
      <c r="C19" s="41">
        <f>(SUMIF(PreRustur!G$4:G$60,"Alle",PreRustur!I$4:I$60))</f>
        <v>0</v>
      </c>
      <c r="D19" s="41">
        <f>+(SUMIF(PreRustur!G$4:G$60,"*Joachim*",PreRustur!I$4:I$60))</f>
        <v>0</v>
      </c>
      <c r="E19" s="41" t="e">
        <f>(SUMIF(#REF!,"Joachim",#REF!))</f>
        <v>#REF!</v>
      </c>
      <c r="F19" s="41">
        <f>(SUMIF(Deltagere!D$4:D$25,"Joachim",Deltagere!O$4:O$25))</f>
        <v>0</v>
      </c>
      <c r="G19" s="41" t="e">
        <f t="shared" si="0"/>
        <v>#REF!</v>
      </c>
      <c r="H19" s="1" t="e">
        <f t="shared" si="1"/>
        <v>#REF!</v>
      </c>
      <c r="I19" s="46" t="s">
        <v>103</v>
      </c>
      <c r="J19" s="105"/>
      <c r="K19" s="132"/>
      <c r="L19" s="131"/>
      <c r="M19" s="132"/>
      <c r="N19" s="81"/>
      <c r="O19" s="98"/>
      <c r="P19" s="111"/>
    </row>
    <row r="20" spans="1:16" ht="15.75" x14ac:dyDescent="0.3">
      <c r="A20" s="45"/>
      <c r="B20" s="48">
        <f>SUMIF(PreRustur!F$4:F$60,"Kathrine",PreRustur!E$4:E$60)</f>
        <v>0</v>
      </c>
      <c r="C20" s="41">
        <f>PreRustur!I9+PreRustur!I15+PreRustur!I54+PreRustur!I56</f>
        <v>0</v>
      </c>
      <c r="D20" s="41">
        <f>+(SUMIF(PreRustur!G$4:G$60,"*Kathrine*",PreRustur!I$4:I$60))</f>
        <v>0</v>
      </c>
      <c r="E20" s="41" t="e">
        <f>(SUMIF(#REF!,"Kathrine",#REF!))</f>
        <v>#REF!</v>
      </c>
      <c r="F20" s="41">
        <f>(SUMIF(Deltagere!D$4:D$25,"Kathrine",Deltagere!O$4:O$25))</f>
        <v>0</v>
      </c>
      <c r="G20" s="41" t="e">
        <f t="shared" si="0"/>
        <v>#REF!</v>
      </c>
      <c r="H20" s="1" t="e">
        <f t="shared" si="1"/>
        <v>#REF!</v>
      </c>
      <c r="I20" s="46" t="s">
        <v>103</v>
      </c>
      <c r="J20" s="105"/>
      <c r="K20" s="132"/>
      <c r="L20" s="131"/>
      <c r="M20" s="132"/>
      <c r="N20" s="81"/>
      <c r="O20" s="98"/>
      <c r="P20" s="111"/>
    </row>
    <row r="21" spans="1:16" ht="15.75" x14ac:dyDescent="0.3">
      <c r="A21" s="45"/>
      <c r="B21" s="48">
        <f>SUMIF(PreRustur!F$4:F$60,"Mads",PreRustur!E$4:E$60)</f>
        <v>0</v>
      </c>
      <c r="C21" s="41">
        <f>(SUMIF(PreRustur!G$4:G$60,"Alle",PreRustur!I$4:I$60))</f>
        <v>0</v>
      </c>
      <c r="D21" s="41">
        <f>+(SUMIF(PreRustur!G$4:G$60,"*Mads*",PreRustur!I$4:I$60))</f>
        <v>0</v>
      </c>
      <c r="E21" s="41" t="e">
        <f>(SUMIF(#REF!,"Mads",#REF!))</f>
        <v>#REF!</v>
      </c>
      <c r="F21" s="41">
        <f>(SUMIF(Deltagere!D$4:D$25,"Mads",Deltagere!O$4:O$25))</f>
        <v>0</v>
      </c>
      <c r="G21" s="41" t="e">
        <f t="shared" si="0"/>
        <v>#REF!</v>
      </c>
      <c r="H21" s="1" t="e">
        <f t="shared" si="1"/>
        <v>#REF!</v>
      </c>
      <c r="I21" s="46" t="s">
        <v>103</v>
      </c>
      <c r="J21" s="105"/>
      <c r="K21" s="132"/>
      <c r="L21" s="131"/>
      <c r="M21" s="132"/>
      <c r="N21" s="81"/>
      <c r="O21" s="98"/>
      <c r="P21" s="111" t="s">
        <v>30</v>
      </c>
    </row>
    <row r="22" spans="1:16" ht="15.75" x14ac:dyDescent="0.3">
      <c r="A22" s="45"/>
      <c r="B22" s="48">
        <f>SUMIF(PreRustur!F$4:F$60,"Michel",PreRustur!E$4:E$60)</f>
        <v>0</v>
      </c>
      <c r="C22" s="41">
        <f>(SUMIF(PreRustur!G$4:G$60,"Alle",PreRustur!I$4:I$60))</f>
        <v>0</v>
      </c>
      <c r="D22" s="41">
        <f>+(SUMIF(PreRustur!G$4:G$60,"*Michel*",PreRustur!I$4:I$60))</f>
        <v>0</v>
      </c>
      <c r="E22" s="41" t="e">
        <f>(SUMIF(#REF!,"Michel",#REF!))</f>
        <v>#REF!</v>
      </c>
      <c r="F22" s="41">
        <f>(SUMIF(Deltagere!D$4:D$25,"Michel",Deltagere!O$4:O$25))</f>
        <v>0</v>
      </c>
      <c r="G22" s="41" t="e">
        <f t="shared" si="0"/>
        <v>#REF!</v>
      </c>
      <c r="H22" s="1" t="e">
        <f t="shared" si="1"/>
        <v>#REF!</v>
      </c>
      <c r="I22" s="46"/>
      <c r="J22" s="105"/>
      <c r="K22" s="129"/>
      <c r="L22" s="133"/>
      <c r="M22" s="134"/>
      <c r="N22" s="42"/>
      <c r="O22" s="97"/>
      <c r="P22" s="111"/>
    </row>
    <row r="23" spans="1:16" ht="15.75" x14ac:dyDescent="0.3">
      <c r="A23" s="45"/>
      <c r="B23" s="48">
        <f>SUMIF(PreRustur!F$4:F$60,"Mick",PreRustur!E$4:E$60)</f>
        <v>0</v>
      </c>
      <c r="C23" s="41">
        <f>(SUMIF(PreRustur!G$4:G$60,"Alle",PreRustur!I$4:I$60))</f>
        <v>0</v>
      </c>
      <c r="D23" s="41">
        <f>+(SUMIF(PreRustur!G$4:G$60,"*Mick*",PreRustur!I$4:I$60))</f>
        <v>0</v>
      </c>
      <c r="E23" s="41" t="e">
        <f>(SUMIF(#REF!,"Mick",#REF!))</f>
        <v>#REF!</v>
      </c>
      <c r="F23" s="41">
        <f>(SUMIF(Deltagere!D$4:D$25,"Mick",Deltagere!O$4:O$25))</f>
        <v>0</v>
      </c>
      <c r="G23" s="41" t="e">
        <f t="shared" si="0"/>
        <v>#REF!</v>
      </c>
      <c r="H23" s="1" t="e">
        <f t="shared" si="1"/>
        <v>#REF!</v>
      </c>
      <c r="I23" s="46" t="s">
        <v>103</v>
      </c>
      <c r="J23" s="105"/>
      <c r="K23" s="132"/>
      <c r="L23" s="62"/>
      <c r="M23" s="132"/>
      <c r="N23" s="32"/>
      <c r="O23" s="98"/>
      <c r="P23" s="111"/>
    </row>
    <row r="24" spans="1:16" ht="15.75" x14ac:dyDescent="0.3">
      <c r="A24" s="45"/>
      <c r="B24" s="48" t="e">
        <f>SUMIF(PreRustur!F$4:F$60,"Pernille",PreRustur!E$4:E$60)+#REF!</f>
        <v>#REF!</v>
      </c>
      <c r="C24" s="41">
        <f>(SUMIF(PreRustur!G$4:G$60,"Alle",PreRustur!I$4:I$60))</f>
        <v>0</v>
      </c>
      <c r="D24" s="41">
        <f>+(SUMIF(PreRustur!G$4:G$60,"*Pernille*",PreRustur!I$4:I$60))</f>
        <v>0</v>
      </c>
      <c r="E24" s="41" t="e">
        <f>(SUMIF(#REF!,"Pernille",#REF!))</f>
        <v>#REF!</v>
      </c>
      <c r="F24" s="41">
        <f>(SUMIF(Deltagere!D$4:D$25,"Pernille",Deltagere!O$4:O$25))</f>
        <v>0</v>
      </c>
      <c r="G24" s="41" t="e">
        <f t="shared" si="0"/>
        <v>#REF!</v>
      </c>
      <c r="H24" s="1" t="e">
        <f t="shared" si="1"/>
        <v>#REF!</v>
      </c>
      <c r="I24" s="46"/>
      <c r="J24" s="105"/>
      <c r="K24" s="122"/>
      <c r="L24" s="123"/>
      <c r="M24" s="123"/>
      <c r="N24" s="109"/>
      <c r="O24" s="110"/>
      <c r="P24" s="111" t="s">
        <v>30</v>
      </c>
    </row>
    <row r="25" spans="1:16" ht="15.75" customHeight="1" x14ac:dyDescent="0.3">
      <c r="A25" s="80"/>
      <c r="B25" s="48">
        <f>SUMIF(PreRustur!F$4:F$60,"Vinther",PreRustur!E$4:E$60)</f>
        <v>0</v>
      </c>
      <c r="C25" s="41">
        <f>(SUMIF(PreRustur!G$4:G$60,"Alle",PreRustur!I$4:I$60))</f>
        <v>0</v>
      </c>
      <c r="D25" s="41">
        <f>(SUMIF(PreRustur!G$4:G$60,"*Vinther*",PreRustur!I$4:I$60))</f>
        <v>0</v>
      </c>
      <c r="E25" s="41" t="e">
        <f>(SUMIF(#REF!,"Vinther",#REF!))</f>
        <v>#REF!</v>
      </c>
      <c r="F25" s="41">
        <f>(SUMIF(Deltagere!D$4:D$25,"Vinther",Deltagere!O$4:O$25))</f>
        <v>0</v>
      </c>
      <c r="G25" s="41" t="e">
        <f t="shared" si="0"/>
        <v>#REF!</v>
      </c>
      <c r="H25" s="1" t="e">
        <f t="shared" si="1"/>
        <v>#REF!</v>
      </c>
      <c r="I25" s="84"/>
      <c r="J25" s="112"/>
      <c r="K25" s="129"/>
      <c r="L25" s="135"/>
      <c r="M25" s="134"/>
      <c r="N25" s="42"/>
      <c r="O25" s="97"/>
      <c r="P25" s="111"/>
    </row>
    <row r="26" spans="1:16" ht="15" customHeight="1" x14ac:dyDescent="0.25">
      <c r="A26" s="115" t="s">
        <v>62</v>
      </c>
      <c r="B26" s="116" t="e">
        <f t="shared" ref="B26:H26" si="2">SUM(B3:B25)</f>
        <v>#REF!</v>
      </c>
      <c r="C26" s="60">
        <f t="shared" si="2"/>
        <v>0</v>
      </c>
      <c r="D26" s="60">
        <f t="shared" si="2"/>
        <v>-161.66</v>
      </c>
      <c r="E26" s="83" t="e">
        <f t="shared" si="2"/>
        <v>#REF!</v>
      </c>
      <c r="F26" s="83">
        <f t="shared" si="2"/>
        <v>0</v>
      </c>
      <c r="G26" s="116" t="e">
        <f t="shared" si="2"/>
        <v>#REF!</v>
      </c>
      <c r="H26" s="83" t="e">
        <f t="shared" si="2"/>
        <v>#REF!</v>
      </c>
      <c r="I26" s="117"/>
      <c r="J26" s="112"/>
      <c r="K26" s="132"/>
      <c r="L26" s="136"/>
      <c r="M26" s="132"/>
      <c r="N26" s="32"/>
      <c r="O26" s="98"/>
      <c r="P26" s="111"/>
    </row>
    <row r="27" spans="1:16" s="1" customFormat="1" ht="15" customHeight="1" x14ac:dyDescent="0.25">
      <c r="A27" s="119"/>
      <c r="B27" s="118"/>
      <c r="C27" s="42"/>
      <c r="D27" s="42"/>
      <c r="E27" s="42"/>
      <c r="F27" s="42"/>
      <c r="G27" s="118"/>
      <c r="H27" s="42" t="e">
        <f>SUM(H3+H9+H12+H13+H16+H22+H24+H25)</f>
        <v>#REF!</v>
      </c>
      <c r="I27" s="114"/>
      <c r="J27" s="99"/>
      <c r="K27" s="132"/>
      <c r="L27" s="137"/>
      <c r="M27" s="61"/>
      <c r="N27" s="48"/>
      <c r="O27" s="100"/>
      <c r="P27" s="111"/>
    </row>
    <row r="28" spans="1:16" s="1" customFormat="1" ht="15" customHeight="1" x14ac:dyDescent="0.25">
      <c r="A28" s="121"/>
      <c r="B28" s="4"/>
      <c r="C28" s="32"/>
      <c r="D28" s="32"/>
      <c r="E28" s="32"/>
      <c r="F28" s="32"/>
      <c r="G28" s="4"/>
      <c r="H28" s="32"/>
      <c r="I28" s="84"/>
      <c r="J28" s="99"/>
      <c r="K28" s="132"/>
      <c r="L28" s="137"/>
      <c r="M28" s="61"/>
      <c r="N28" s="48"/>
      <c r="O28" s="100"/>
      <c r="P28" s="111"/>
    </row>
    <row r="29" spans="1:16" s="1" customFormat="1" ht="15" customHeight="1" x14ac:dyDescent="0.25">
      <c r="A29" s="121"/>
      <c r="B29" s="4"/>
      <c r="C29" s="32"/>
      <c r="D29" s="32"/>
      <c r="E29" s="32"/>
      <c r="F29" s="32"/>
      <c r="G29" s="4"/>
      <c r="H29" s="32"/>
      <c r="I29" s="84"/>
      <c r="J29" s="99"/>
      <c r="K29" s="132"/>
      <c r="L29" s="137"/>
      <c r="M29" s="61"/>
      <c r="N29" s="48"/>
      <c r="O29" s="100"/>
      <c r="P29" s="111"/>
    </row>
    <row r="30" spans="1:16" ht="15.75" x14ac:dyDescent="0.3">
      <c r="C30" s="87"/>
      <c r="D30" s="87"/>
      <c r="G30" s="87"/>
      <c r="K30" s="122"/>
      <c r="L30" s="123"/>
      <c r="M30" s="123"/>
      <c r="N30" s="109"/>
      <c r="O30" s="110"/>
      <c r="P30" s="111" t="s">
        <v>30</v>
      </c>
    </row>
    <row r="31" spans="1:16" x14ac:dyDescent="0.25">
      <c r="M31" s="1">
        <f>SUM(M3+M6+M11+M15+M16+M21+M24+M30)</f>
        <v>0</v>
      </c>
    </row>
    <row r="33" spans="11:16" x14ac:dyDescent="0.25">
      <c r="K33" s="58"/>
      <c r="L33" s="58"/>
      <c r="M33" s="58"/>
      <c r="N33" s="58"/>
      <c r="O33" s="120"/>
      <c r="P33" s="99"/>
    </row>
    <row r="34" spans="11:16" x14ac:dyDescent="0.25">
      <c r="K34" s="58"/>
      <c r="L34" s="58"/>
      <c r="M34" s="58"/>
      <c r="N34" s="58"/>
      <c r="O34" s="58"/>
      <c r="P34" s="99"/>
    </row>
  </sheetData>
  <sortState ref="A2:D25">
    <sortCondition ref="A1"/>
  </sortState>
  <mergeCells count="8">
    <mergeCell ref="A1:I1"/>
    <mergeCell ref="K1:P1"/>
    <mergeCell ref="R10:S10"/>
    <mergeCell ref="R2:T2"/>
    <mergeCell ref="R3:T3"/>
    <mergeCell ref="R7:S7"/>
    <mergeCell ref="R8:S8"/>
    <mergeCell ref="R9:S9"/>
  </mergeCells>
  <conditionalFormatting sqref="H3:J3 I4:J24 H4:H25 H42:P1048576 O34:P34 H31:J41 P3:P4 P33 P7 P12 P16">
    <cfRule type="cellIs" dxfId="84" priority="54" operator="greaterThan">
      <formula>0</formula>
    </cfRule>
    <cfRule type="cellIs" dxfId="83" priority="55" operator="lessThan">
      <formula>0</formula>
    </cfRule>
  </conditionalFormatting>
  <conditionalFormatting sqref="H26">
    <cfRule type="cellIs" dxfId="82" priority="32" operator="equal">
      <formula>0</formula>
    </cfRule>
    <cfRule type="cellIs" dxfId="81" priority="48" operator="equal">
      <formula>0</formula>
    </cfRule>
    <cfRule type="cellIs" dxfId="80" priority="49" operator="greaterThan">
      <formula>0</formula>
    </cfRule>
    <cfRule type="cellIs" dxfId="79" priority="50" operator="lessThan">
      <formula>0</formula>
    </cfRule>
  </conditionalFormatting>
  <conditionalFormatting sqref="B26">
    <cfRule type="cellIs" dxfId="78" priority="47" operator="equal">
      <formula>$R$3</formula>
    </cfRule>
  </conditionalFormatting>
  <conditionalFormatting sqref="E26">
    <cfRule type="cellIs" dxfId="77" priority="39" operator="lessThan">
      <formula>1406.13</formula>
    </cfRule>
    <cfRule type="cellIs" dxfId="76" priority="40" operator="greaterThan">
      <formula>1406.13</formula>
    </cfRule>
  </conditionalFormatting>
  <conditionalFormatting sqref="C26:D26">
    <cfRule type="cellIs" dxfId="75" priority="33" operator="greaterThan">
      <formula>19471.07</formula>
    </cfRule>
    <cfRule type="cellIs" dxfId="74" priority="34" operator="greaterThan">
      <formula>19471.07</formula>
    </cfRule>
    <cfRule type="cellIs" dxfId="73" priority="35" operator="equal">
      <formula>19471.07</formula>
    </cfRule>
  </conditionalFormatting>
  <conditionalFormatting sqref="G26">
    <cfRule type="cellIs" dxfId="72" priority="27" operator="equal">
      <formula>$R$3</formula>
    </cfRule>
    <cfRule type="cellIs" dxfId="71" priority="28" operator="lessThan">
      <formula>32595.24</formula>
    </cfRule>
    <cfRule type="cellIs" dxfId="70" priority="29" operator="greaterThan">
      <formula>32595.24</formula>
    </cfRule>
    <cfRule type="cellIs" dxfId="69" priority="30" operator="equal">
      <formula>$R$3</formula>
    </cfRule>
  </conditionalFormatting>
  <conditionalFormatting sqref="M6">
    <cfRule type="cellIs" dxfId="68" priority="26" operator="equal">
      <formula>$H$9</formula>
    </cfRule>
  </conditionalFormatting>
  <conditionalFormatting sqref="M3">
    <cfRule type="cellIs" dxfId="67" priority="25" operator="equal">
      <formula>$H$3</formula>
    </cfRule>
  </conditionalFormatting>
  <conditionalFormatting sqref="M11">
    <cfRule type="cellIs" dxfId="66" priority="24" operator="equal">
      <formula>$H$12</formula>
    </cfRule>
  </conditionalFormatting>
  <conditionalFormatting sqref="M15">
    <cfRule type="cellIs" dxfId="65" priority="23" operator="equal">
      <formula>$H$13</formula>
    </cfRule>
  </conditionalFormatting>
  <conditionalFormatting sqref="M16">
    <cfRule type="cellIs" dxfId="64" priority="22" operator="equal">
      <formula>$H$16</formula>
    </cfRule>
  </conditionalFormatting>
  <conditionalFormatting sqref="M21">
    <cfRule type="cellIs" dxfId="63" priority="21" operator="equal">
      <formula>$H$22</formula>
    </cfRule>
  </conditionalFormatting>
  <conditionalFormatting sqref="M24">
    <cfRule type="cellIs" dxfId="62" priority="20" operator="equal">
      <formula>$H$24</formula>
    </cfRule>
  </conditionalFormatting>
  <conditionalFormatting sqref="M30">
    <cfRule type="cellIs" dxfId="61" priority="16" operator="equal">
      <formula>$H$25</formula>
    </cfRule>
    <cfRule type="cellIs" dxfId="60" priority="17" operator="equal">
      <formula>$H$24</formula>
    </cfRule>
  </conditionalFormatting>
  <conditionalFormatting sqref="P1:P1048576">
    <cfRule type="containsText" dxfId="59" priority="14" operator="containsText" text="ISBLANK()">
      <formula>NOT(ISERROR(SEARCH("ISBLANK()",P1)))</formula>
    </cfRule>
    <cfRule type="cellIs" dxfId="58" priority="15" operator="equal">
      <formula>1</formula>
    </cfRule>
  </conditionalFormatting>
  <conditionalFormatting sqref="G3:G25">
    <cfRule type="iconSet" priority="10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conditionalFormatting sqref="T10">
    <cfRule type="cellIs" dxfId="57" priority="7" operator="between">
      <formula>31</formula>
      <formula>74</formula>
    </cfRule>
    <cfRule type="cellIs" dxfId="56" priority="8" operator="greaterThan">
      <formula>75</formula>
    </cfRule>
    <cfRule type="cellIs" dxfId="55" priority="9" operator="lessThan">
      <formula>30</formula>
    </cfRule>
  </conditionalFormatting>
  <conditionalFormatting sqref="T8">
    <cfRule type="cellIs" dxfId="0" priority="5" operator="lessThan">
      <formula>5</formula>
    </cfRule>
    <cfRule type="cellIs" dxfId="1" priority="6" operator="greaterThan">
      <formula>15</formula>
    </cfRule>
    <cfRule type="cellIs" dxfId="2" priority="1" operator="equal">
      <formula>0</formula>
    </cfRule>
  </conditionalFormatting>
  <conditionalFormatting sqref="T9">
    <cfRule type="cellIs" dxfId="54" priority="2" operator="between">
      <formula>14</formula>
      <formula>6</formula>
    </cfRule>
    <cfRule type="cellIs" dxfId="53" priority="3" operator="lessThan">
      <formula>5</formula>
    </cfRule>
    <cfRule type="cellIs" dxfId="52" priority="4" operator="greaterThan">
      <formula>15</formula>
    </cfRule>
  </conditionalFormatting>
  <conditionalFormatting sqref="E26">
    <cfRule type="cellIs" dxfId="48" priority="41" operator="equal">
      <formula>#REF!</formula>
    </cfRule>
  </conditionalFormatting>
  <pageMargins left="0.7" right="0.7" top="0.75" bottom="0.75" header="0.3" footer="0.3"/>
  <pageSetup paperSize="9" orientation="portrait" horizontalDpi="4294967293" verticalDpi="0" r:id="rId1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52" operator="lessThan" id="{31D0FD6E-D40F-4946-916C-D6065B0F7350}">
            <xm:f>PreRustur!$E$61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53" operator="greaterThan" id="{1F12B5D6-D246-4389-90A5-888D85920029}">
            <xm:f>PreRustur!$E$61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B26</xm:sqref>
        </x14:conditionalFormatting>
        <x14:conditionalFormatting xmlns:xm="http://schemas.microsoft.com/office/excel/2006/main">
          <x14:cfRule type="cellIs" priority="51" operator="equal" id="{51961055-C832-4CDD-9131-E9C1DC324D1C}">
            <xm:f>PreRustur!$E$61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R3</xm:sqref>
        </x14:conditionalFormatting>
        <x14:conditionalFormatting xmlns:xm="http://schemas.microsoft.com/office/excel/2006/main">
          <x14:cfRule type="cellIs" priority="36" operator="lessThan" id="{4EFA63F3-5945-412D-9072-E9EC5FEE040A}">
            <xm:f>Deltagere!$A$10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7" operator="greaterThan" id="{440DD744-B39E-465B-9CE2-7895785B4D79}">
            <xm:f>Deltagere!$A$10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8" operator="equal" id="{44F41E83-9E7D-416D-86BF-1EC96651AEE7}">
            <xm:f>Deltagere!$A$10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F26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-0.499984740745262"/>
  </sheetPr>
  <dimension ref="A1:S33"/>
  <sheetViews>
    <sheetView topLeftCell="A8" zoomScale="80" zoomScaleNormal="80" workbookViewId="0">
      <selection activeCell="H27" sqref="H26:H27"/>
    </sheetView>
  </sheetViews>
  <sheetFormatPr defaultRowHeight="15" outlineLevelCol="1" x14ac:dyDescent="0.25"/>
  <cols>
    <col min="1" max="1" width="24.5703125" style="1" customWidth="1"/>
    <col min="2" max="2" width="16.42578125" style="1" customWidth="1"/>
    <col min="3" max="4" width="13.5703125" style="1" customWidth="1" outlineLevel="1"/>
    <col min="5" max="5" width="19.5703125" style="1" customWidth="1" outlineLevel="1"/>
    <col min="6" max="6" width="19.5703125" style="1" customWidth="1"/>
    <col min="7" max="7" width="15.5703125" style="1" customWidth="1"/>
    <col min="8" max="8" width="4.5703125" style="1" customWidth="1"/>
    <col min="9" max="9" width="19.5703125" style="1" customWidth="1"/>
    <col min="10" max="13" width="19.5703125" style="1" hidden="1" customWidth="1"/>
    <col min="14" max="14" width="16.140625" style="1" hidden="1" customWidth="1"/>
    <col min="15" max="15" width="16.140625" style="46" hidden="1" customWidth="1"/>
    <col min="16" max="16" width="9.140625" style="1"/>
    <col min="17" max="17" width="10.42578125" style="1" bestFit="1" customWidth="1"/>
    <col min="18" max="18" width="12.85546875" style="1" customWidth="1"/>
    <col min="19" max="19" width="10.140625" style="1" bestFit="1" customWidth="1"/>
    <col min="20" max="16384" width="9.140625" style="1"/>
  </cols>
  <sheetData>
    <row r="1" spans="1:19" ht="19.5" x14ac:dyDescent="0.25">
      <c r="A1" s="177" t="s">
        <v>106</v>
      </c>
      <c r="B1" s="177"/>
      <c r="C1" s="177"/>
      <c r="D1" s="177"/>
      <c r="E1" s="177"/>
      <c r="F1" s="177"/>
      <c r="G1" s="177"/>
      <c r="H1" s="178"/>
      <c r="I1" s="193"/>
      <c r="J1" s="179" t="s">
        <v>112</v>
      </c>
      <c r="K1" s="179"/>
      <c r="L1" s="179"/>
      <c r="M1" s="179"/>
      <c r="N1" s="179"/>
      <c r="O1" s="180"/>
    </row>
    <row r="2" spans="1:19" ht="24" customHeight="1" x14ac:dyDescent="0.25">
      <c r="A2" s="56" t="s">
        <v>66</v>
      </c>
      <c r="B2" s="56" t="s">
        <v>61</v>
      </c>
      <c r="C2" s="86" t="s">
        <v>109</v>
      </c>
      <c r="D2" s="86" t="s">
        <v>108</v>
      </c>
      <c r="E2" s="56" t="s">
        <v>131</v>
      </c>
      <c r="F2" s="56" t="s">
        <v>89</v>
      </c>
      <c r="G2" s="56" t="s">
        <v>67</v>
      </c>
      <c r="H2" s="82"/>
      <c r="I2" s="194"/>
      <c r="J2" s="86" t="s">
        <v>110</v>
      </c>
      <c r="K2" s="86" t="s">
        <v>111</v>
      </c>
      <c r="L2" s="86" t="s">
        <v>4</v>
      </c>
      <c r="M2" s="86" t="s">
        <v>113</v>
      </c>
      <c r="N2" s="113" t="s">
        <v>90</v>
      </c>
      <c r="O2" s="56" t="s">
        <v>91</v>
      </c>
      <c r="Q2" s="183" t="s">
        <v>89</v>
      </c>
      <c r="R2" s="184"/>
      <c r="S2" s="185"/>
    </row>
    <row r="3" spans="1:19" ht="15.75" x14ac:dyDescent="0.3">
      <c r="A3" s="45" t="s">
        <v>18</v>
      </c>
      <c r="B3" s="48">
        <f>SUMIF(PostRustur!F$4:F$60,"Anders",PostRustur!E$4:E$60)</f>
        <v>0</v>
      </c>
      <c r="C3" s="41">
        <f>(SUMIF(PostRustur!G$4:G$60,"Alle",PostRustur!I$4:I$60))</f>
        <v>0</v>
      </c>
      <c r="D3" s="41">
        <f>(SUMIF(PostRustur!G$4:G$60,"*Anders*",PostRustur!I$4:I$60))</f>
        <v>0</v>
      </c>
      <c r="E3" s="41" t="e">
        <f>(SUMIF([1]Bagberedelse!D$4:D$25,"A3",[1]Bagberedelse!O$4:O$25))</f>
        <v>#VALUE!</v>
      </c>
      <c r="F3" s="41" t="e">
        <f t="shared" ref="F3:F24" si="0">SUM(C3:E3)</f>
        <v>#VALUE!</v>
      </c>
      <c r="G3" s="1" t="e">
        <f t="shared" ref="G3:G24" si="1">B3-F3</f>
        <v>#VALUE!</v>
      </c>
      <c r="H3" s="46"/>
      <c r="I3" s="112"/>
      <c r="J3" s="191" t="s">
        <v>18</v>
      </c>
      <c r="K3" s="123" t="s">
        <v>115</v>
      </c>
      <c r="L3" s="123" t="e">
        <f>G3</f>
        <v>#VALUE!</v>
      </c>
      <c r="M3" s="109" t="e">
        <f>G3+G4</f>
        <v>#VALUE!</v>
      </c>
      <c r="N3" s="110" t="s">
        <v>96</v>
      </c>
      <c r="O3" s="138"/>
      <c r="Q3" s="186" t="e">
        <f>PreRustur!E61+#REF!</f>
        <v>#REF!</v>
      </c>
      <c r="R3" s="187"/>
      <c r="S3" s="188"/>
    </row>
    <row r="4" spans="1:19" ht="15.75" x14ac:dyDescent="0.3">
      <c r="A4" s="45" t="s">
        <v>14</v>
      </c>
      <c r="B4" s="48">
        <f>SUMIF(PostRustur!F$4:F$60,"Anna",PostRustur!E$4:E$60)</f>
        <v>0</v>
      </c>
      <c r="C4" s="41">
        <f>(SUMIF(PostRustur!G$4:G$60,"Alle",PreRustur!I$4:I$60))</f>
        <v>0</v>
      </c>
      <c r="D4" s="41">
        <f>(SUMIF(PreRustur!G$4:G$60,"*Anna*",PreRustur!I$4:I$60))</f>
        <v>0</v>
      </c>
      <c r="E4" s="41" t="e">
        <f>(SUMIF([1]Bagberedelse!D$4:D$25,"Anna",[1]Bagberedelse!O$4:O$25))</f>
        <v>#VALUE!</v>
      </c>
      <c r="F4" s="41" t="e">
        <f t="shared" si="0"/>
        <v>#VALUE!</v>
      </c>
      <c r="G4" s="1" t="e">
        <f t="shared" si="1"/>
        <v>#VALUE!</v>
      </c>
      <c r="H4" s="46" t="s">
        <v>103</v>
      </c>
      <c r="I4" s="112"/>
      <c r="J4" s="126" t="s">
        <v>12</v>
      </c>
      <c r="K4" s="125" t="s">
        <v>116</v>
      </c>
      <c r="L4" s="125" t="e">
        <f>-1*M3</f>
        <v>#VALUE!</v>
      </c>
      <c r="M4" s="99" t="e">
        <f>G9+M3</f>
        <v>#VALUE!</v>
      </c>
      <c r="N4" s="98" t="s">
        <v>95</v>
      </c>
      <c r="O4" s="111"/>
    </row>
    <row r="5" spans="1:19" ht="15.75" x14ac:dyDescent="0.3">
      <c r="A5" s="45" t="s">
        <v>31</v>
      </c>
      <c r="B5" s="48">
        <f>SUMIF(PostRustur!F$4:F$60,"Anne",PostRustur!E$4:E$60)</f>
        <v>0</v>
      </c>
      <c r="C5" s="41">
        <f>(SUMIF(PostRustur!G$4:G$60,"Alle",PostRustur!I$4:I$60))</f>
        <v>0</v>
      </c>
      <c r="D5" s="41">
        <f>+(SUMIF(PreRustur!G$4:G$60,"*Anne*",PreRustur!I$4:I$60))</f>
        <v>0</v>
      </c>
      <c r="E5" s="41" t="e">
        <f>(SUMIF([1]Bagberedelse!D$4:D$25,"Anders",[1]Bagberedelse!O$4:O$25))</f>
        <v>#VALUE!</v>
      </c>
      <c r="F5" s="41" t="e">
        <f t="shared" si="0"/>
        <v>#VALUE!</v>
      </c>
      <c r="G5" s="1" t="e">
        <f t="shared" si="1"/>
        <v>#VALUE!</v>
      </c>
      <c r="H5" s="46" t="s">
        <v>103</v>
      </c>
      <c r="I5" s="112"/>
      <c r="J5" s="126"/>
      <c r="K5" s="125" t="s">
        <v>117</v>
      </c>
      <c r="L5" s="125" t="e">
        <f>M4</f>
        <v>#VALUE!</v>
      </c>
      <c r="M5" s="102" t="e">
        <f>G20+M4</f>
        <v>#VALUE!</v>
      </c>
      <c r="N5" s="100"/>
      <c r="O5" s="111"/>
      <c r="Q5" s="41"/>
    </row>
    <row r="6" spans="1:19" ht="15.75" x14ac:dyDescent="0.3">
      <c r="A6" s="45" t="s">
        <v>22</v>
      </c>
      <c r="B6" s="48">
        <f>SUMIF(PostRustur!F$4:F$60,"Anton",PostRustur!E$4:E$60)</f>
        <v>0</v>
      </c>
      <c r="C6" s="41">
        <f>(SUMIF(PostRustur!G$4:G$60,"Alle",PostRustur!I$4:I$60))</f>
        <v>0</v>
      </c>
      <c r="D6" s="41">
        <f>+(SUMIF(PreRustur!G$4:G$60,"*Anton*",PreRustur!I$4:I$60))</f>
        <v>0</v>
      </c>
      <c r="E6" s="41" t="e">
        <f>(SUMIF([1]Bagberedelse!D$4:D$25,"Anders",[1]Bagberedelse!O$4:O$25))</f>
        <v>#VALUE!</v>
      </c>
      <c r="F6" s="41" t="e">
        <f t="shared" si="0"/>
        <v>#VALUE!</v>
      </c>
      <c r="G6" s="1" t="e">
        <f t="shared" si="1"/>
        <v>#VALUE!</v>
      </c>
      <c r="H6" s="46" t="s">
        <v>103</v>
      </c>
      <c r="I6" s="112"/>
      <c r="J6" s="191"/>
      <c r="K6" s="123" t="s">
        <v>114</v>
      </c>
      <c r="L6" s="123" t="e">
        <f>L4+L5</f>
        <v>#VALUE!</v>
      </c>
      <c r="M6" s="109"/>
      <c r="N6" s="110"/>
      <c r="O6" s="111" t="s">
        <v>30</v>
      </c>
      <c r="Q6" s="41"/>
    </row>
    <row r="7" spans="1:19" ht="15.75" x14ac:dyDescent="0.3">
      <c r="A7" s="45" t="s">
        <v>15</v>
      </c>
      <c r="B7" s="48">
        <f>SUMIF(PostRustur!F$4:F$60,"Bodilsen",PostRustur!E$4:E$60)</f>
        <v>0</v>
      </c>
      <c r="C7" s="41">
        <f>(SUMIF(PostRustur!G$4:G$60,"Alle",PostRustur!I$4:I$60))</f>
        <v>0</v>
      </c>
      <c r="D7" s="41">
        <f>+(SUMIF(PreRustur!G$4:G$60,"*Bodilsen*",PreRustur!I$4:I$60))</f>
        <v>0</v>
      </c>
      <c r="E7" s="41" t="e">
        <f>(SUMIF([1]Bagberedelse!D$4:D$25,"Anders",[1]Bagberedelse!O$4:O$25))</f>
        <v>#VALUE!</v>
      </c>
      <c r="F7" s="41" t="e">
        <f t="shared" si="0"/>
        <v>#VALUE!</v>
      </c>
      <c r="G7" s="1" t="e">
        <f t="shared" si="1"/>
        <v>#VALUE!</v>
      </c>
      <c r="H7" s="46" t="s">
        <v>103</v>
      </c>
      <c r="I7" s="112"/>
      <c r="J7" s="126" t="s">
        <v>9</v>
      </c>
      <c r="K7" s="125" t="s">
        <v>31</v>
      </c>
      <c r="L7" s="125" t="e">
        <f>-1*G5</f>
        <v>#VALUE!</v>
      </c>
      <c r="M7" s="102"/>
      <c r="N7" s="101" t="s">
        <v>97</v>
      </c>
      <c r="O7" s="111"/>
      <c r="Q7" s="189" t="s">
        <v>94</v>
      </c>
      <c r="R7" s="189"/>
      <c r="S7" s="111" t="s">
        <v>103</v>
      </c>
    </row>
    <row r="8" spans="1:19" ht="15.75" x14ac:dyDescent="0.3">
      <c r="A8" s="45" t="s">
        <v>6</v>
      </c>
      <c r="B8" s="48">
        <f>SUMIF(PostRustur!F$4:F$60,"Brit",PostRustur!E$4:E$60)</f>
        <v>0</v>
      </c>
      <c r="C8" s="41">
        <f>(SUMIF(PreRustur!G$4:G$60,"Alle",PreRustur!I$4:I$60))</f>
        <v>0</v>
      </c>
      <c r="D8" s="41">
        <f>+(SUMIF(PreRustur!G$4:G$60,"*Brit*",PreRustur!I$4:I$60))</f>
        <v>0</v>
      </c>
      <c r="E8" s="41" t="e">
        <f>(SUMIF([1]Bagberedelse!D$4:D$25,"Anders",[1]Bagberedelse!O$4:O$25))</f>
        <v>#VALUE!</v>
      </c>
      <c r="F8" s="41" t="e">
        <f t="shared" si="0"/>
        <v>#VALUE!</v>
      </c>
      <c r="G8" s="1" t="e">
        <f t="shared" si="1"/>
        <v>#VALUE!</v>
      </c>
      <c r="H8" s="46" t="s">
        <v>103</v>
      </c>
      <c r="I8" s="112"/>
      <c r="J8" s="127"/>
      <c r="K8" s="128" t="s">
        <v>22</v>
      </c>
      <c r="L8" s="128" t="e">
        <f>-1*G6</f>
        <v>#VALUE!</v>
      </c>
      <c r="M8" s="103"/>
      <c r="N8" s="101"/>
      <c r="O8" s="111"/>
      <c r="Q8" s="190" t="s">
        <v>92</v>
      </c>
      <c r="R8" s="190"/>
      <c r="S8" s="18"/>
    </row>
    <row r="9" spans="1:19" ht="15.75" x14ac:dyDescent="0.3">
      <c r="A9" s="45" t="s">
        <v>12</v>
      </c>
      <c r="B9" s="48">
        <f>SUMIF(PostRustur!F$4:F$60,"Camilla",PostRustur!E$4:E$60)</f>
        <v>0</v>
      </c>
      <c r="C9" s="41">
        <f>(SUMIF(PreRustur!G$4:G$60,"Alle",PreRustur!I$4:I$60))</f>
        <v>0</v>
      </c>
      <c r="D9" s="41">
        <f>+(SUMIF(PreRustur!G$4:G$60,"*Camilla*",PreRustur!I$4:I$60))</f>
        <v>0</v>
      </c>
      <c r="E9" s="41" t="e">
        <f>(SUMIF([1]Bagberedelse!D$4:D$25,"Anders",[1]Bagberedelse!O$4:O$25))</f>
        <v>#VALUE!</v>
      </c>
      <c r="F9" s="41" t="e">
        <f t="shared" si="0"/>
        <v>#VALUE!</v>
      </c>
      <c r="G9" s="1" t="e">
        <f t="shared" si="1"/>
        <v>#VALUE!</v>
      </c>
      <c r="H9" s="46"/>
      <c r="I9" s="112"/>
      <c r="J9" s="126"/>
      <c r="K9" s="125" t="s">
        <v>6</v>
      </c>
      <c r="L9" s="125" t="e">
        <f>-1*G8</f>
        <v>#VALUE!</v>
      </c>
      <c r="M9" s="102"/>
      <c r="N9" s="100"/>
      <c r="O9" s="111"/>
      <c r="Q9" s="190" t="s">
        <v>93</v>
      </c>
      <c r="R9" s="190"/>
      <c r="S9" s="18"/>
    </row>
    <row r="10" spans="1:19" ht="15.75" x14ac:dyDescent="0.3">
      <c r="A10" s="45" t="s">
        <v>13</v>
      </c>
      <c r="B10" s="48">
        <f>SUMIF(PostRustur!F$4:F$60,"Cirkeline",PostRustur!E$4:E$60)</f>
        <v>0</v>
      </c>
      <c r="C10" s="41">
        <f>(SUMIF(PreRustur!G$4:G$60,"Alle",PreRustur!I$4:I$60))</f>
        <v>0</v>
      </c>
      <c r="D10" s="41">
        <f>+(SUMIF(PreRustur!G$4:G$60,"*Cirkeline*",PreRustur!I$4:I$60))</f>
        <v>0</v>
      </c>
      <c r="E10" s="41" t="e">
        <f>(SUMIF([1]Bagberedelse!D$4:D$25,"Anders",[1]Bagberedelse!O$4:O$25))</f>
        <v>#VALUE!</v>
      </c>
      <c r="F10" s="41" t="e">
        <f t="shared" si="0"/>
        <v>#VALUE!</v>
      </c>
      <c r="G10" s="1" t="e">
        <f t="shared" si="1"/>
        <v>#VALUE!</v>
      </c>
      <c r="H10" s="46" t="s">
        <v>103</v>
      </c>
      <c r="I10" s="112"/>
      <c r="J10" s="126"/>
      <c r="K10" s="125" t="s">
        <v>118</v>
      </c>
      <c r="L10" s="125" t="e">
        <f>-1*G10</f>
        <v>#VALUE!</v>
      </c>
      <c r="M10" s="102" t="e">
        <f>SUM(L7:L9)-(G10+G12)</f>
        <v>#VALUE!</v>
      </c>
      <c r="N10" s="100"/>
      <c r="O10" s="111"/>
      <c r="Q10" s="181" t="s">
        <v>128</v>
      </c>
      <c r="R10" s="182"/>
      <c r="S10" s="140" t="e">
        <f>(S7-S9)/S7*100</f>
        <v>#VALUE!</v>
      </c>
    </row>
    <row r="11" spans="1:19" ht="15.75" x14ac:dyDescent="0.3">
      <c r="A11" s="45" t="s">
        <v>11</v>
      </c>
      <c r="B11" s="48">
        <f>SUMIF(PostRustur!F$4:F$60,"Emil",PostRustur!E$4:E$60)</f>
        <v>0</v>
      </c>
      <c r="C11" s="41">
        <f>(SUMIF(PreRustur!G$4:G$60,"Alle",PreRustur!I$4:I$60))</f>
        <v>0</v>
      </c>
      <c r="D11" s="41">
        <f>+(SUMIF(PreRustur!G$4:G$60,"*Emil*",PreRustur!I$4:I$60))</f>
        <v>0</v>
      </c>
      <c r="E11" s="41" t="e">
        <f>(SUMIF([1]Bagberedelse!D$4:D$25,"Anders",[1]Bagberedelse!O$4:O$25))</f>
        <v>#VALUE!</v>
      </c>
      <c r="F11" s="41" t="e">
        <f t="shared" si="0"/>
        <v>#VALUE!</v>
      </c>
      <c r="G11" s="1" t="e">
        <f t="shared" si="1"/>
        <v>#VALUE!</v>
      </c>
      <c r="H11" s="46" t="s">
        <v>103</v>
      </c>
      <c r="I11" s="112"/>
      <c r="J11" s="191"/>
      <c r="K11" s="123" t="s">
        <v>114</v>
      </c>
      <c r="L11" s="123" t="e">
        <f>SUM(L7:L10)-M10</f>
        <v>#VALUE!</v>
      </c>
      <c r="M11" s="109"/>
      <c r="N11" s="110"/>
      <c r="O11" s="111" t="s">
        <v>30</v>
      </c>
    </row>
    <row r="12" spans="1:19" ht="15.75" x14ac:dyDescent="0.3">
      <c r="A12" s="45" t="s">
        <v>9</v>
      </c>
      <c r="B12" s="48">
        <f>SUMIF(PostRustur!F$4:F$60,"Emma",PostRustur!E$4:E$60)</f>
        <v>0</v>
      </c>
      <c r="C12" s="41">
        <f>(SUMIF(PreRustur!G$4:G$60,"Alle",PreRustur!I$4:I$60))</f>
        <v>0</v>
      </c>
      <c r="D12" s="41">
        <f>+(SUMIF(PreRustur!G$4:G$60,"*Emma*",PreRustur!I$4:I$60))</f>
        <v>0</v>
      </c>
      <c r="E12" s="41" t="e">
        <f>(SUMIF([1]Bagberedelse!D$4:D$25,"Anders",[1]Bagberedelse!O$4:O$25))</f>
        <v>#VALUE!</v>
      </c>
      <c r="F12" s="41" t="e">
        <f t="shared" si="0"/>
        <v>#VALUE!</v>
      </c>
      <c r="G12" s="1" t="e">
        <f t="shared" si="1"/>
        <v>#VALUE!</v>
      </c>
      <c r="H12" s="40"/>
      <c r="I12" s="195"/>
      <c r="J12" s="126" t="s">
        <v>32</v>
      </c>
      <c r="K12" s="125" t="s">
        <v>119</v>
      </c>
      <c r="L12" s="125" t="e">
        <f>M10</f>
        <v>#VALUE!</v>
      </c>
      <c r="M12" s="102"/>
      <c r="N12" s="100" t="s">
        <v>98</v>
      </c>
      <c r="O12" s="111"/>
    </row>
    <row r="13" spans="1:19" ht="15.75" x14ac:dyDescent="0.3">
      <c r="A13" s="45" t="s">
        <v>33</v>
      </c>
      <c r="B13" s="48">
        <f>SUMIF(PostRustur!F$4:F$60,"Frederikke",PostRustur!E$4:E$60)</f>
        <v>0</v>
      </c>
      <c r="C13" s="41">
        <f>(SUMIF(PreRustur!G$4:G$60,"Alle",PreRustur!I$4:I$60))</f>
        <v>0</v>
      </c>
      <c r="D13" s="41">
        <f>+(SUMIF(PreRustur!G$4:G$60,"*Frederikke*",PreRustur!I$4:I$60))</f>
        <v>0</v>
      </c>
      <c r="E13" s="41" t="e">
        <f>(SUMIF([1]Bagberedelse!D$4:D$25,"Anders",[1]Bagberedelse!O$4:O$25))</f>
        <v>#VALUE!</v>
      </c>
      <c r="F13" s="41" t="e">
        <f t="shared" si="0"/>
        <v>#VALUE!</v>
      </c>
      <c r="G13" s="1" t="e">
        <f t="shared" si="1"/>
        <v>#VALUE!</v>
      </c>
      <c r="H13" s="46" t="s">
        <v>103</v>
      </c>
      <c r="I13" s="112"/>
      <c r="J13" s="126"/>
      <c r="K13" s="125" t="s">
        <v>124</v>
      </c>
      <c r="L13" s="125" t="e">
        <f>#REF!-SUM(L12:L12)</f>
        <v>#REF!</v>
      </c>
      <c r="M13" s="102" t="e">
        <f>-1*G19-L13</f>
        <v>#VALUE!</v>
      </c>
      <c r="N13" s="100"/>
      <c r="O13" s="111"/>
    </row>
    <row r="14" spans="1:19" ht="15.75" x14ac:dyDescent="0.3">
      <c r="A14" s="45" t="s">
        <v>8</v>
      </c>
      <c r="B14" s="48">
        <f>SUMIF(PostRustur!F$4:F$60,"Henriette",PostRustur!E$4:E$60)</f>
        <v>0</v>
      </c>
      <c r="C14" s="41">
        <f>(SUMIF(PreRustur!G$4:G$60,"Alle",PreRustur!I$4:I$60))</f>
        <v>0</v>
      </c>
      <c r="D14" s="41">
        <f>+(SUMIF(PreRustur!G$4:G$60,"*Henriette*",PreRustur!I$4:I$60))</f>
        <v>0</v>
      </c>
      <c r="E14" s="41" t="e">
        <f>(SUMIF([1]Bagberedelse!D$4:D$25,"Anders",[1]Bagberedelse!O$4:O$25))</f>
        <v>#VALUE!</v>
      </c>
      <c r="F14" s="41" t="e">
        <f t="shared" si="0"/>
        <v>#VALUE!</v>
      </c>
      <c r="G14" s="1" t="e">
        <f t="shared" si="1"/>
        <v>#VALUE!</v>
      </c>
      <c r="H14" s="46" t="s">
        <v>103</v>
      </c>
      <c r="I14" s="112"/>
      <c r="J14" s="191"/>
      <c r="K14" s="123" t="s">
        <v>114</v>
      </c>
      <c r="L14" s="123" t="e">
        <f>SUM(L12:L13)</f>
        <v>#VALUE!</v>
      </c>
      <c r="M14" s="109"/>
      <c r="N14" s="110"/>
      <c r="O14" s="111" t="s">
        <v>30</v>
      </c>
    </row>
    <row r="15" spans="1:19" ht="15.75" x14ac:dyDescent="0.3">
      <c r="A15" s="45" t="s">
        <v>17</v>
      </c>
      <c r="B15" s="48">
        <f>SUMIF(PostRustur!F$4:F$60,"Henrik",PostRustur!E$4:E$60)</f>
        <v>0</v>
      </c>
      <c r="C15" s="41">
        <f>(SUMIF(PreRustur!G$4:G$60,"Alle",PreRustur!I$4:I$60))</f>
        <v>0</v>
      </c>
      <c r="D15" s="41">
        <f>+(SUMIF(PreRustur!G$4:G$60,"*Henrik*",PreRustur!I$4:I$60))</f>
        <v>0</v>
      </c>
      <c r="E15" s="41" t="e">
        <f>(SUMIF([1]Bagberedelse!D$4:D$25,"Anders",[1]Bagberedelse!O$4:O$25))</f>
        <v>#VALUE!</v>
      </c>
      <c r="F15" s="41" t="e">
        <f t="shared" si="0"/>
        <v>#VALUE!</v>
      </c>
      <c r="G15" s="1" t="e">
        <f t="shared" si="1"/>
        <v>#VALUE!</v>
      </c>
      <c r="H15" s="46"/>
      <c r="I15" s="112"/>
      <c r="J15" s="126" t="s">
        <v>17</v>
      </c>
      <c r="K15" s="125" t="s">
        <v>120</v>
      </c>
      <c r="L15" s="125" t="e">
        <f>-1*(G13-M15)</f>
        <v>#VALUE!</v>
      </c>
      <c r="M15" s="102" t="e">
        <f>G15+G13</f>
        <v>#VALUE!</v>
      </c>
      <c r="N15" s="100" t="s">
        <v>99</v>
      </c>
      <c r="O15" s="139">
        <v>1</v>
      </c>
      <c r="Q15" s="36"/>
    </row>
    <row r="16" spans="1:19" ht="15.75" x14ac:dyDescent="0.3">
      <c r="A16" s="45" t="s">
        <v>7</v>
      </c>
      <c r="B16" s="48">
        <f>SUMIF(PostRustur!F$4:F$60,"Ingelise",PostRustur!E$4:E$60)</f>
        <v>0</v>
      </c>
      <c r="C16" s="41">
        <f>(SUMIF(PreRustur!G$4:G$60,"Alle",PreRustur!I$4:I$60))</f>
        <v>0</v>
      </c>
      <c r="D16" s="41">
        <f>+(SUMIF(PreRustur!G$4:G$60,"*Ingelise*",PreRustur!I$4:I$60))</f>
        <v>0</v>
      </c>
      <c r="E16" s="41" t="e">
        <f>(SUMIF([1]Bagberedelse!D$4:D$25,"Anders",[1]Bagberedelse!O$4:O$25))</f>
        <v>#VALUE!</v>
      </c>
      <c r="F16" s="41" t="e">
        <f t="shared" si="0"/>
        <v>#VALUE!</v>
      </c>
      <c r="G16" s="1" t="e">
        <f t="shared" si="1"/>
        <v>#VALUE!</v>
      </c>
      <c r="H16" s="46" t="s">
        <v>103</v>
      </c>
      <c r="I16" s="112"/>
      <c r="J16" s="192" t="s">
        <v>19</v>
      </c>
      <c r="K16" s="130" t="s">
        <v>126</v>
      </c>
      <c r="L16" s="130" t="e">
        <f>-1*M15</f>
        <v>#VALUE!</v>
      </c>
      <c r="M16" s="108"/>
      <c r="N16" s="97"/>
      <c r="O16" s="111">
        <v>1</v>
      </c>
    </row>
    <row r="17" spans="1:15" ht="15.75" x14ac:dyDescent="0.3">
      <c r="A17" s="45" t="s">
        <v>21</v>
      </c>
      <c r="B17" s="48">
        <f>SUMIF(PostRustur!F$4:F$60,"Ingelise",PostRustur!E$4:E$60)</f>
        <v>0</v>
      </c>
      <c r="C17" s="41">
        <f>(SUMIF(PreRustur!G$4:G$60,"Alle",PreRustur!I$4:I$60))</f>
        <v>0</v>
      </c>
      <c r="D17" s="41">
        <f>+(SUMIF(PreRustur!G$4:G$60,"*Jakob*",PreRustur!I$4:I$60))</f>
        <v>0</v>
      </c>
      <c r="E17" s="41" t="e">
        <f>(SUMIF([1]Bagberedelse!D$4:D$25,"Anders",[1]Bagberedelse!O$4:O$25))</f>
        <v>#VALUE!</v>
      </c>
      <c r="F17" s="41" t="e">
        <f t="shared" si="0"/>
        <v>#VALUE!</v>
      </c>
      <c r="G17" s="1" t="e">
        <f t="shared" si="1"/>
        <v>#VALUE!</v>
      </c>
      <c r="H17" s="46" t="s">
        <v>103</v>
      </c>
      <c r="I17" s="112"/>
      <c r="J17" s="125"/>
      <c r="K17" s="131" t="s">
        <v>34</v>
      </c>
      <c r="L17" s="131" t="e">
        <f>-1*G18</f>
        <v>#VALUE!</v>
      </c>
      <c r="M17" s="105"/>
      <c r="N17" s="98" t="s">
        <v>100</v>
      </c>
      <c r="O17" s="111"/>
    </row>
    <row r="18" spans="1:15" ht="15.75" x14ac:dyDescent="0.3">
      <c r="A18" s="45" t="s">
        <v>34</v>
      </c>
      <c r="B18" s="48">
        <f>SUMIF(PostRustur!F$4:F$60,"Ingelise",PostRustur!E$4:E$60)</f>
        <v>0</v>
      </c>
      <c r="C18" s="41">
        <f>(SUMIF(PreRustur!G$4:G$60,"Alle",PreRustur!I$4:I$60))</f>
        <v>0</v>
      </c>
      <c r="D18" s="41">
        <f>+(SUMIF(PreRustur!G$4:G$60,"*Joachim*",PreRustur!I$4:I$60))</f>
        <v>0</v>
      </c>
      <c r="E18" s="41" t="e">
        <f>(SUMIF([1]Bagberedelse!D$4:D$25,"Anders",[1]Bagberedelse!O$4:O$25))</f>
        <v>#VALUE!</v>
      </c>
      <c r="F18" s="41" t="e">
        <f t="shared" si="0"/>
        <v>#VALUE!</v>
      </c>
      <c r="G18" s="1" t="e">
        <f t="shared" si="1"/>
        <v>#VALUE!</v>
      </c>
      <c r="H18" s="46" t="s">
        <v>103</v>
      </c>
      <c r="I18" s="112"/>
      <c r="J18" s="61"/>
      <c r="K18" s="131" t="s">
        <v>7</v>
      </c>
      <c r="L18" s="132" t="e">
        <f>-1*G16</f>
        <v>#VALUE!</v>
      </c>
      <c r="M18" s="81"/>
      <c r="N18" s="98"/>
      <c r="O18" s="111"/>
    </row>
    <row r="19" spans="1:15" ht="15.75" x14ac:dyDescent="0.3">
      <c r="A19" s="45" t="s">
        <v>35</v>
      </c>
      <c r="B19" s="48">
        <f>SUMIF(PostRustur!F$4:F$60,"Ingelise",PostRustur!E$4:E$60)</f>
        <v>0</v>
      </c>
      <c r="C19" s="41">
        <f>PreRustur!I9+PreRustur!I15+PreRustur!I54+PreRustur!I56</f>
        <v>0</v>
      </c>
      <c r="D19" s="41">
        <f>+(SUMIF(PreRustur!G$4:G$60,"*Kathrine*",PreRustur!I$4:I$60))</f>
        <v>0</v>
      </c>
      <c r="E19" s="41" t="e">
        <f>(SUMIF([1]Bagberedelse!D$4:D$25,"Anders",[1]Bagberedelse!O$4:O$25))</f>
        <v>#VALUE!</v>
      </c>
      <c r="F19" s="41" t="e">
        <f t="shared" si="0"/>
        <v>#VALUE!</v>
      </c>
      <c r="G19" s="1" t="e">
        <f t="shared" si="1"/>
        <v>#VALUE!</v>
      </c>
      <c r="H19" s="46" t="s">
        <v>103</v>
      </c>
      <c r="I19" s="112"/>
      <c r="J19" s="61"/>
      <c r="K19" s="131" t="s">
        <v>16</v>
      </c>
      <c r="L19" s="132" t="e">
        <f>-1*G22</f>
        <v>#VALUE!</v>
      </c>
      <c r="M19" s="81" t="e">
        <f>G21-SUM(L16:L19)</f>
        <v>#VALUE!</v>
      </c>
      <c r="N19" s="98"/>
      <c r="O19" s="111"/>
    </row>
    <row r="20" spans="1:15" ht="15.75" x14ac:dyDescent="0.3">
      <c r="A20" s="45" t="s">
        <v>20</v>
      </c>
      <c r="B20" s="48">
        <f>SUMIF(PostRustur!F$4:F$60,"Ingelise",PostRustur!E$4:E$60)</f>
        <v>0</v>
      </c>
      <c r="C20" s="41">
        <f>(SUMIF(PreRustur!G$4:G$60,"Alle",PreRustur!I$4:I$60))</f>
        <v>0</v>
      </c>
      <c r="D20" s="41">
        <f>+(SUMIF(PreRustur!G$4:G$60,"*Mads*",PreRustur!I$4:I$60))</f>
        <v>0</v>
      </c>
      <c r="E20" s="41" t="e">
        <f>(SUMIF([1]Bagberedelse!D$4:D$25,"Anders",[1]Bagberedelse!O$4:O$25))</f>
        <v>#VALUE!</v>
      </c>
      <c r="F20" s="41" t="e">
        <f t="shared" si="0"/>
        <v>#VALUE!</v>
      </c>
      <c r="G20" s="1" t="e">
        <f t="shared" si="1"/>
        <v>#VALUE!</v>
      </c>
      <c r="H20" s="46" t="s">
        <v>103</v>
      </c>
      <c r="I20" s="112"/>
      <c r="J20" s="61"/>
      <c r="K20" s="131" t="s">
        <v>114</v>
      </c>
      <c r="L20" s="132" t="e">
        <f>SUM(L16:L19)+M19</f>
        <v>#VALUE!</v>
      </c>
      <c r="M20" s="81"/>
      <c r="N20" s="98" t="s">
        <v>102</v>
      </c>
      <c r="O20" s="111" t="s">
        <v>30</v>
      </c>
    </row>
    <row r="21" spans="1:15" ht="15.75" x14ac:dyDescent="0.3">
      <c r="A21" s="45" t="s">
        <v>19</v>
      </c>
      <c r="B21" s="48">
        <f>SUMIF(PostRustur!F$4:F$60,"Ingelise",PostRustur!E$4:E$60)</f>
        <v>0</v>
      </c>
      <c r="C21" s="41">
        <f>(SUMIF(PreRustur!G$4:G$60,"Alle",PreRustur!I$4:I$60))</f>
        <v>0</v>
      </c>
      <c r="D21" s="41">
        <f>+(SUMIF(PreRustur!G$4:G$60,"*Michel*",PreRustur!I$4:I$60))</f>
        <v>0</v>
      </c>
      <c r="E21" s="41" t="e">
        <f>(SUMIF([1]Bagberedelse!D$4:D$25,"Anders",[1]Bagberedelse!O$4:O$25))</f>
        <v>#VALUE!</v>
      </c>
      <c r="F21" s="41" t="e">
        <f t="shared" si="0"/>
        <v>#VALUE!</v>
      </c>
      <c r="G21" s="1" t="e">
        <f t="shared" si="1"/>
        <v>#VALUE!</v>
      </c>
      <c r="H21" s="46"/>
      <c r="I21" s="112"/>
      <c r="J21" s="192" t="s">
        <v>5</v>
      </c>
      <c r="K21" s="133" t="s">
        <v>127</v>
      </c>
      <c r="L21" s="134" t="e">
        <f>-1*M19</f>
        <v>#VALUE!</v>
      </c>
      <c r="M21" s="42"/>
      <c r="N21" s="97"/>
      <c r="O21" s="111"/>
    </row>
    <row r="22" spans="1:15" ht="15.75" x14ac:dyDescent="0.3">
      <c r="A22" s="45" t="s">
        <v>16</v>
      </c>
      <c r="B22" s="48">
        <f>SUMIF(PostRustur!F$4:F$60,"Ingelise",PostRustur!E$4:E$60)</f>
        <v>0</v>
      </c>
      <c r="C22" s="41">
        <f>(SUMIF(PreRustur!G$4:G$60,"Alle",PreRustur!I$4:I$60))</f>
        <v>0</v>
      </c>
      <c r="D22" s="41">
        <f>+(SUMIF(PreRustur!G$4:G$60,"*Mick*",PreRustur!I$4:I$60))</f>
        <v>0</v>
      </c>
      <c r="E22" s="41" t="e">
        <f>(SUMIF([1]Bagberedelse!D$4:D$25,"Anders",[1]Bagberedelse!O$4:O$25))</f>
        <v>#VALUE!</v>
      </c>
      <c r="F22" s="41" t="e">
        <f t="shared" si="0"/>
        <v>#VALUE!</v>
      </c>
      <c r="G22" s="1" t="e">
        <f t="shared" si="1"/>
        <v>#VALUE!</v>
      </c>
      <c r="H22" s="46" t="s">
        <v>103</v>
      </c>
      <c r="I22" s="112"/>
      <c r="J22" s="61"/>
      <c r="K22" s="62" t="s">
        <v>121</v>
      </c>
      <c r="L22" s="132" t="e">
        <f>-1*G7</f>
        <v>#VALUE!</v>
      </c>
      <c r="M22" s="32"/>
      <c r="N22" s="98" t="s">
        <v>101</v>
      </c>
      <c r="O22" s="111"/>
    </row>
    <row r="23" spans="1:15" ht="15.75" x14ac:dyDescent="0.3">
      <c r="A23" s="45" t="s">
        <v>5</v>
      </c>
      <c r="B23" s="48">
        <f>SUMIF(PostRustur!F$4:F$60,"Ingelise",PostRustur!E$4:E$60)</f>
        <v>0</v>
      </c>
      <c r="C23" s="41">
        <f>(SUMIF(PreRustur!G$4:G$60,"Alle",PreRustur!I$4:I$60))</f>
        <v>0</v>
      </c>
      <c r="D23" s="41">
        <f>+(SUMIF(PreRustur!G$4:G$60,"*Pernille*",PreRustur!I$4:I$60))</f>
        <v>0</v>
      </c>
      <c r="E23" s="41" t="e">
        <f>(SUMIF([1]Bagberedelse!D$4:D$25,"Anders",[1]Bagberedelse!O$4:O$25))</f>
        <v>#VALUE!</v>
      </c>
      <c r="F23" s="41" t="e">
        <f t="shared" si="0"/>
        <v>#VALUE!</v>
      </c>
      <c r="G23" s="1" t="e">
        <f t="shared" si="1"/>
        <v>#VALUE!</v>
      </c>
      <c r="H23" s="46"/>
      <c r="I23" s="112"/>
      <c r="J23" s="191"/>
      <c r="K23" s="123" t="s">
        <v>114</v>
      </c>
      <c r="L23" s="123" t="e">
        <f>SUM(L21:L22)+M23</f>
        <v>#VALUE!</v>
      </c>
      <c r="M23" s="109" t="e">
        <f>G23-(L21+L22)</f>
        <v>#VALUE!</v>
      </c>
      <c r="N23" s="110"/>
      <c r="O23" s="111" t="s">
        <v>30</v>
      </c>
    </row>
    <row r="24" spans="1:15" ht="15.75" customHeight="1" x14ac:dyDescent="0.3">
      <c r="A24" s="80" t="s">
        <v>10</v>
      </c>
      <c r="B24" s="48">
        <f>SUMIF(PostRustur!F$4:F$60,"Ingelise",PostRustur!E$4:E$60)</f>
        <v>0</v>
      </c>
      <c r="C24" s="41">
        <f>(SUMIF(PreRustur!G$4:G$60,"Alle",PreRustur!I$4:I$60))</f>
        <v>0</v>
      </c>
      <c r="D24" s="41">
        <f>(SUMIF(PreRustur!G$4:G$60,"*Vinther*",PreRustur!I$4:I$60))</f>
        <v>0</v>
      </c>
      <c r="E24" s="41" t="e">
        <f>(SUMIF([1]Bagberedelse!D$4:D$25,"Anders",[1]Bagberedelse!O$4:O$25))</f>
        <v>#VALUE!</v>
      </c>
      <c r="F24" s="41" t="e">
        <f t="shared" si="0"/>
        <v>#VALUE!</v>
      </c>
      <c r="G24" s="1" t="e">
        <f t="shared" si="1"/>
        <v>#VALUE!</v>
      </c>
      <c r="H24" s="84"/>
      <c r="I24" s="112"/>
      <c r="J24" s="192" t="s">
        <v>10</v>
      </c>
      <c r="K24" s="135" t="s">
        <v>11</v>
      </c>
      <c r="L24" s="134" t="e">
        <f>-1*G11</f>
        <v>#VALUE!</v>
      </c>
      <c r="M24" s="42"/>
      <c r="N24" s="97"/>
      <c r="O24" s="111"/>
    </row>
    <row r="25" spans="1:15" ht="15" customHeight="1" x14ac:dyDescent="0.25">
      <c r="A25" s="115" t="s">
        <v>62</v>
      </c>
      <c r="B25" s="116">
        <f t="shared" ref="B25:G25" si="2">SUM(B3:B24)</f>
        <v>0</v>
      </c>
      <c r="C25" s="60">
        <f t="shared" si="2"/>
        <v>0</v>
      </c>
      <c r="D25" s="60">
        <f>SUM(D3:D24)</f>
        <v>0</v>
      </c>
      <c r="E25" s="83" t="e">
        <f t="shared" si="2"/>
        <v>#VALUE!</v>
      </c>
      <c r="F25" s="116" t="e">
        <f t="shared" si="2"/>
        <v>#VALUE!</v>
      </c>
      <c r="G25" s="83" t="e">
        <f t="shared" si="2"/>
        <v>#VALUE!</v>
      </c>
      <c r="H25" s="117"/>
      <c r="I25" s="112"/>
      <c r="J25" s="61"/>
      <c r="K25" s="136" t="s">
        <v>8</v>
      </c>
      <c r="L25" s="132" t="e">
        <f>-1*G14</f>
        <v>#VALUE!</v>
      </c>
      <c r="M25" s="32"/>
      <c r="N25" s="98" t="s">
        <v>101</v>
      </c>
      <c r="O25" s="111"/>
    </row>
    <row r="26" spans="1:15" ht="15" customHeight="1" x14ac:dyDescent="0.25">
      <c r="A26" s="119"/>
      <c r="B26" s="118"/>
      <c r="C26" s="42"/>
      <c r="D26" s="42"/>
      <c r="E26" s="42"/>
      <c r="F26" s="118"/>
      <c r="G26" s="42" t="e">
        <f>SUM(G3+G9+G12+#REF!+G15+G21+G23+G24)</f>
        <v>#VALUE!</v>
      </c>
      <c r="H26" s="114"/>
      <c r="I26" s="99"/>
      <c r="J26" s="61"/>
      <c r="K26" s="137" t="s">
        <v>123</v>
      </c>
      <c r="L26" s="61" t="e">
        <f>-1*M5</f>
        <v>#VALUE!</v>
      </c>
      <c r="M26" s="48"/>
      <c r="N26" s="100"/>
      <c r="O26" s="111"/>
    </row>
    <row r="27" spans="1:15" ht="15" customHeight="1" x14ac:dyDescent="0.25">
      <c r="A27" s="121"/>
      <c r="B27" s="4"/>
      <c r="C27" s="32"/>
      <c r="D27" s="32"/>
      <c r="E27" s="32"/>
      <c r="F27" s="4"/>
      <c r="G27" s="32"/>
      <c r="H27" s="84"/>
      <c r="I27" s="99"/>
      <c r="J27" s="61"/>
      <c r="K27" s="137" t="s">
        <v>125</v>
      </c>
      <c r="L27" s="61" t="e">
        <f>M13</f>
        <v>#VALUE!</v>
      </c>
      <c r="M27" s="48"/>
      <c r="N27" s="100"/>
      <c r="O27" s="111"/>
    </row>
    <row r="28" spans="1:15" ht="15" customHeight="1" x14ac:dyDescent="0.25">
      <c r="A28" s="121"/>
      <c r="B28" s="4"/>
      <c r="C28" s="32"/>
      <c r="D28" s="32"/>
      <c r="E28" s="32"/>
      <c r="F28" s="4"/>
      <c r="G28" s="32"/>
      <c r="H28" s="84"/>
      <c r="I28" s="99"/>
      <c r="J28" s="132"/>
      <c r="K28" s="137" t="s">
        <v>122</v>
      </c>
      <c r="L28" s="61" t="e">
        <f>-1*M23</f>
        <v>#VALUE!</v>
      </c>
      <c r="M28" s="48"/>
      <c r="N28" s="100"/>
      <c r="O28" s="111"/>
    </row>
    <row r="29" spans="1:15" ht="15.75" x14ac:dyDescent="0.3">
      <c r="C29" s="87"/>
      <c r="D29" s="87"/>
      <c r="F29" s="87"/>
      <c r="J29" s="122"/>
      <c r="K29" s="123" t="s">
        <v>114</v>
      </c>
      <c r="L29" s="123" t="e">
        <f>SUM(L24:L28)</f>
        <v>#VALUE!</v>
      </c>
      <c r="M29" s="109" t="e">
        <f>G24-SUM(L24:L28)</f>
        <v>#VALUE!</v>
      </c>
      <c r="N29" s="110"/>
      <c r="O29" s="111" t="s">
        <v>30</v>
      </c>
    </row>
    <row r="30" spans="1:15" x14ac:dyDescent="0.25">
      <c r="L30" s="1" t="e">
        <f>SUM(L3+L6+L11+L14+L15+L20+L23+L29)</f>
        <v>#VALUE!</v>
      </c>
    </row>
    <row r="32" spans="1:15" x14ac:dyDescent="0.25">
      <c r="J32" s="58"/>
      <c r="K32" s="58"/>
      <c r="L32" s="58"/>
      <c r="M32" s="58"/>
      <c r="N32" s="120"/>
      <c r="O32" s="99"/>
    </row>
    <row r="33" spans="10:15" x14ac:dyDescent="0.25">
      <c r="J33" s="58"/>
      <c r="K33" s="58"/>
      <c r="L33" s="58"/>
      <c r="M33" s="58"/>
      <c r="N33" s="58"/>
      <c r="O33" s="99"/>
    </row>
  </sheetData>
  <mergeCells count="8">
    <mergeCell ref="Q9:R9"/>
    <mergeCell ref="Q10:R10"/>
    <mergeCell ref="A1:H1"/>
    <mergeCell ref="J1:O1"/>
    <mergeCell ref="Q2:S2"/>
    <mergeCell ref="Q3:S3"/>
    <mergeCell ref="Q7:R7"/>
    <mergeCell ref="Q8:R8"/>
  </mergeCells>
  <conditionalFormatting sqref="G3:I3 G41:O1048576 N33:O33 G30:I40 O3:O4 O32 O7 O12 O15 H4:I23 G4:G24">
    <cfRule type="cellIs" dxfId="124" priority="43" operator="greaterThan">
      <formula>0</formula>
    </cfRule>
    <cfRule type="cellIs" dxfId="123" priority="44" operator="lessThan">
      <formula>0</formula>
    </cfRule>
  </conditionalFormatting>
  <conditionalFormatting sqref="G25">
    <cfRule type="cellIs" dxfId="122" priority="26" operator="equal">
      <formula>0</formula>
    </cfRule>
    <cfRule type="cellIs" dxfId="121" priority="37" operator="equal">
      <formula>0</formula>
    </cfRule>
    <cfRule type="cellIs" dxfId="120" priority="38" operator="greaterThan">
      <formula>0</formula>
    </cfRule>
    <cfRule type="cellIs" dxfId="119" priority="39" operator="lessThan">
      <formula>0</formula>
    </cfRule>
  </conditionalFormatting>
  <conditionalFormatting sqref="B25">
    <cfRule type="cellIs" dxfId="118" priority="36" operator="equal">
      <formula>$Q$3</formula>
    </cfRule>
  </conditionalFormatting>
  <conditionalFormatting sqref="C25:D25">
    <cfRule type="cellIs" dxfId="117" priority="27" operator="greaterThan">
      <formula>19471.07</formula>
    </cfRule>
    <cfRule type="cellIs" dxfId="116" priority="28" operator="greaterThan">
      <formula>19471.07</formula>
    </cfRule>
    <cfRule type="cellIs" dxfId="115" priority="29" operator="equal">
      <formula>19471.07</formula>
    </cfRule>
  </conditionalFormatting>
  <conditionalFormatting sqref="F25">
    <cfRule type="cellIs" dxfId="114" priority="22" operator="equal">
      <formula>$Q$3</formula>
    </cfRule>
    <cfRule type="cellIs" dxfId="113" priority="23" operator="lessThan">
      <formula>32595.24</formula>
    </cfRule>
    <cfRule type="cellIs" dxfId="112" priority="24" operator="greaterThan">
      <formula>32595.24</formula>
    </cfRule>
    <cfRule type="cellIs" dxfId="111" priority="25" operator="equal">
      <formula>$Q$3</formula>
    </cfRule>
  </conditionalFormatting>
  <conditionalFormatting sqref="L6">
    <cfRule type="cellIs" dxfId="110" priority="21" operator="equal">
      <formula>$G$9</formula>
    </cfRule>
  </conditionalFormatting>
  <conditionalFormatting sqref="L3">
    <cfRule type="cellIs" dxfId="109" priority="20" operator="equal">
      <formula>$G$3</formula>
    </cfRule>
  </conditionalFormatting>
  <conditionalFormatting sqref="L11">
    <cfRule type="cellIs" dxfId="108" priority="19" operator="equal">
      <formula>$G$12</formula>
    </cfRule>
  </conditionalFormatting>
  <conditionalFormatting sqref="L14">
    <cfRule type="cellIs" dxfId="107" priority="18" operator="equal">
      <formula>#REF!</formula>
    </cfRule>
  </conditionalFormatting>
  <conditionalFormatting sqref="L15">
    <cfRule type="cellIs" dxfId="106" priority="17" operator="equal">
      <formula>$G$15</formula>
    </cfRule>
  </conditionalFormatting>
  <conditionalFormatting sqref="L20">
    <cfRule type="cellIs" dxfId="105" priority="16" operator="equal">
      <formula>$G$21</formula>
    </cfRule>
  </conditionalFormatting>
  <conditionalFormatting sqref="L23">
    <cfRule type="cellIs" dxfId="104" priority="15" operator="equal">
      <formula>$G$23</formula>
    </cfRule>
  </conditionalFormatting>
  <conditionalFormatting sqref="L29">
    <cfRule type="cellIs" dxfId="103" priority="13" operator="equal">
      <formula>$G$24</formula>
    </cfRule>
    <cfRule type="cellIs" dxfId="102" priority="14" operator="equal">
      <formula>$G$23</formula>
    </cfRule>
  </conditionalFormatting>
  <conditionalFormatting sqref="O1:O1048576">
    <cfRule type="containsText" dxfId="101" priority="11" operator="containsText" text="ISBLANK()">
      <formula>NOT(ISERROR(SEARCH("ISBLANK()",O1)))</formula>
    </cfRule>
    <cfRule type="cellIs" dxfId="100" priority="12" operator="equal">
      <formula>1</formula>
    </cfRule>
  </conditionalFormatting>
  <conditionalFormatting sqref="S10">
    <cfRule type="cellIs" dxfId="99" priority="7" operator="between">
      <formula>31</formula>
      <formula>74</formula>
    </cfRule>
    <cfRule type="cellIs" dxfId="98" priority="8" operator="greaterThan">
      <formula>75</formula>
    </cfRule>
    <cfRule type="cellIs" dxfId="97" priority="9" operator="lessThan">
      <formula>30</formula>
    </cfRule>
  </conditionalFormatting>
  <conditionalFormatting sqref="S8">
    <cfRule type="cellIs" dxfId="96" priority="1" operator="equal">
      <formula>0</formula>
    </cfRule>
    <cfRule type="cellIs" dxfId="95" priority="5" operator="lessThan">
      <formula>5</formula>
    </cfRule>
    <cfRule type="cellIs" dxfId="94" priority="6" operator="greaterThan">
      <formula>15</formula>
    </cfRule>
  </conditionalFormatting>
  <conditionalFormatting sqref="S9">
    <cfRule type="cellIs" dxfId="93" priority="2" operator="between">
      <formula>14</formula>
      <formula>6</formula>
    </cfRule>
    <cfRule type="cellIs" dxfId="92" priority="3" operator="lessThan">
      <formula>5</formula>
    </cfRule>
    <cfRule type="cellIs" dxfId="91" priority="4" operator="greaterThan">
      <formula>15</formula>
    </cfRule>
  </conditionalFormatting>
  <conditionalFormatting sqref="F3:F24">
    <cfRule type="iconSet" priority="69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hyperlinks>
    <hyperlink ref="N7" r:id="rId1" display="tel:29 44 29 34"/>
  </hyperlinks>
  <pageMargins left="0.7" right="0.7" top="0.75" bottom="0.75" header="0.3" footer="0.3"/>
  <pageSetup paperSize="9" orientation="portrait" horizontalDpi="4294967293" verticalDpi="0" r:id="rId2"/>
  <legacyDrawing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41" operator="lessThan" id="{6C35882D-D88C-46EF-99A2-86D9FE2B4253}">
            <xm:f>PreRustur!$E$61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42" operator="greaterThan" id="{7545905B-4793-4D59-B9A7-86FA1B8189AC}">
            <xm:f>PreRustur!$E$61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B25</xm:sqref>
        </x14:conditionalFormatting>
        <x14:conditionalFormatting xmlns:xm="http://schemas.microsoft.com/office/excel/2006/main">
          <x14:cfRule type="cellIs" priority="40" operator="equal" id="{2613AF60-9D0B-4CAE-AEDE-DC8EC7057118}">
            <xm:f>PreRustur!$E$61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Q3</xm:sqref>
        </x14:conditionalFormatting>
        <x14:conditionalFormatting xmlns:xm="http://schemas.microsoft.com/office/excel/2006/main">
          <x14:cfRule type="cellIs" priority="30" operator="lessThan" id="{EC9D814A-DD72-4D8F-A9A5-259B6C017042}">
            <xm:f>Deltagere!$A$10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1" operator="greaterThan" id="{F55C6271-D80F-4660-9CC5-96EAFB471D26}">
            <xm:f>Deltagere!$A$10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14:cfRule type="cellIs" priority="32" operator="equal" id="{DDCC06E7-0D1D-4E2C-81CF-107F80A2FD02}">
            <xm:f>Deltagere!$A$10</xm:f>
            <x14:dxf>
              <font>
                <color rgb="FF006100"/>
              </font>
              <fill>
                <patternFill>
                  <bgColor rgb="FFC6EFCE"/>
                </patternFill>
              </fill>
            </x14:dxf>
          </x14:cfRule>
          <xm:sqref>E25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Pivot</vt:lpstr>
      <vt:lpstr>INFO</vt:lpstr>
      <vt:lpstr>PostRustur</vt:lpstr>
      <vt:lpstr>PreRustur</vt:lpstr>
      <vt:lpstr>Deltagere</vt:lpstr>
      <vt:lpstr>Betalinger - PreRus</vt:lpstr>
      <vt:lpstr>Betalinger - PostRus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Henriette</dc:creator>
  <cp:lastModifiedBy>Henriette</cp:lastModifiedBy>
  <dcterms:created xsi:type="dcterms:W3CDTF">2014-08-10T09:24:20Z</dcterms:created>
  <dcterms:modified xsi:type="dcterms:W3CDTF">2015-11-22T23:12:07Z</dcterms:modified>
</cp:coreProperties>
</file>